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65" windowWidth="15480" windowHeight="9915" activeTab="3"/>
  </bookViews>
  <sheets>
    <sheet name="allegato B" sheetId="1" r:id="rId1"/>
    <sheet name="allegato C" sheetId="2" r:id="rId2"/>
    <sheet name="allegato D" sheetId="3" r:id="rId3"/>
    <sheet name="allegato E" sheetId="4" r:id="rId4"/>
    <sheet name="allegato F" sheetId="5" r:id="rId5"/>
    <sheet name="allegato G" sheetId="6" r:id="rId6"/>
    <sheet name="allegato H" sheetId="7" r:id="rId7"/>
  </sheets>
  <definedNames>
    <definedName name="_xlfn.IFERROR" hidden="1">#NAME?</definedName>
    <definedName name="_xlnm.Print_Area" localSheetId="0">'allegato B'!$A$1:$O$23</definedName>
    <definedName name="_xlnm.Print_Area" localSheetId="1">'allegato C'!$A$1:$J$116</definedName>
    <definedName name="_xlnm.Print_Area" localSheetId="2">'allegato D'!$A$1:$I$39</definedName>
    <definedName name="_xlnm.Print_Area" localSheetId="3">'allegato E'!$A$1:$H$70</definedName>
    <definedName name="_xlnm.Print_Area" localSheetId="4">'allegato F'!$A$1:$G$179</definedName>
    <definedName name="_xlnm.Print_Area" localSheetId="5">'allegato G'!$A$1:$D$69</definedName>
    <definedName name="_xlnm.Print_Area" localSheetId="6">'allegato H'!$A$1:$T$56</definedName>
    <definedName name="combustibile">'allegato C'!$P$15</definedName>
    <definedName name="vettore">'allegato C'!$S$15:$S$28</definedName>
  </definedNames>
  <calcPr fullCalcOnLoad="1"/>
</workbook>
</file>

<file path=xl/comments2.xml><?xml version="1.0" encoding="utf-8"?>
<comments xmlns="http://schemas.openxmlformats.org/spreadsheetml/2006/main">
  <authors>
    <author>Stefano Dotta</author>
  </authors>
  <commentList>
    <comment ref="A27" authorId="0">
      <text>
        <r>
          <rPr>
            <sz val="9"/>
            <rFont val="Tahoma"/>
            <family val="2"/>
          </rPr>
          <t xml:space="preserve">VERIFICARE CHE IL RISPARMIO OFFERTO SIA MAGGIORE O UGUALE DEL RISPARMIO MINIMO A BASE DI 
GARA
</t>
        </r>
      </text>
    </comment>
    <comment ref="A36" authorId="0">
      <text>
        <r>
          <rPr>
            <sz val="9"/>
            <rFont val="Tahoma"/>
            <family val="2"/>
          </rPr>
          <t>VERIFICARE CHE IL RISPARMIO OFFERTO SIA MAGGIORE O UGUALE DEL RISPARMIO MINIMO A BASE DI 
GARA</t>
        </r>
      </text>
    </comment>
    <comment ref="A50" authorId="0">
      <text>
        <r>
          <rPr>
            <sz val="9"/>
            <rFont val="Tahoma"/>
            <family val="2"/>
          </rPr>
          <t xml:space="preserve">VERIFICARE CHE IL RISPARMIO OFFERTO SIA MAGGIORE O UGUALE DEL RISPARMIO MINIMO A BASE DI 
GARA
</t>
        </r>
      </text>
    </comment>
    <comment ref="A62" authorId="0">
      <text>
        <r>
          <rPr>
            <sz val="9"/>
            <rFont val="Tahoma"/>
            <family val="2"/>
          </rPr>
          <t xml:space="preserve">VERIFICARE CHE IL RISPARMIO OFFERTO SIA MAGGIORE O UGUALE DEL RISPARMIO MINIMO A BASE DI 
GARA
</t>
        </r>
      </text>
    </comment>
    <comment ref="A78" authorId="0">
      <text>
        <r>
          <rPr>
            <sz val="9"/>
            <rFont val="Tahoma"/>
            <family val="2"/>
          </rPr>
          <t xml:space="preserve">VERIFICARE CHE IL RISPARMIO OFFERTO SIA MAGGIORE O UGUALE DEL RISPARMIO MINIMO A BASE DI 
GARA
</t>
        </r>
      </text>
    </comment>
    <comment ref="J83" authorId="0">
      <text>
        <r>
          <rPr>
            <b/>
            <sz val="9"/>
            <rFont val="Tahoma"/>
            <family val="2"/>
          </rPr>
          <t xml:space="preserve">l'offerta verrà ritenuta valida se tutti i risparmi offerti sui singoli comuni risulteranno validi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Stefano Dotta</author>
  </authors>
  <commentList>
    <comment ref="D26" authorId="0">
      <text>
        <r>
          <rPr>
            <b/>
            <sz val="9"/>
            <rFont val="Tahoma"/>
            <family val="2"/>
          </rPr>
          <t xml:space="preserve">l'offerta verrà ritenuta valida se tutti gli interventi offerti risulteranno validi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<sst xmlns="http://schemas.openxmlformats.org/spreadsheetml/2006/main" count="831" uniqueCount="289">
  <si>
    <t>Comune</t>
  </si>
  <si>
    <t>Elenco comuni</t>
  </si>
  <si>
    <t>C</t>
  </si>
  <si>
    <t>bruino</t>
  </si>
  <si>
    <t>none</t>
  </si>
  <si>
    <t>volvera</t>
  </si>
  <si>
    <t>orbassano</t>
  </si>
  <si>
    <t>risparmio minimo a base di gara</t>
  </si>
  <si>
    <t>risparmio  offerto dal concorrente</t>
  </si>
  <si>
    <t>Risparmio minimo a base di gara</t>
  </si>
  <si>
    <t>durata contratto</t>
  </si>
  <si>
    <r>
      <t>T</t>
    </r>
    <r>
      <rPr>
        <vertAlign val="subscript"/>
        <sz val="10"/>
        <rFont val="Arial"/>
        <family val="2"/>
      </rPr>
      <t>c</t>
    </r>
  </si>
  <si>
    <t>investimenti minimi a base di gara</t>
  </si>
  <si>
    <r>
      <t>r</t>
    </r>
    <r>
      <rPr>
        <vertAlign val="subscript"/>
        <sz val="14"/>
        <rFont val="Arial"/>
        <family val="2"/>
      </rPr>
      <t>MS min</t>
    </r>
  </si>
  <si>
    <r>
      <t>r</t>
    </r>
    <r>
      <rPr>
        <vertAlign val="subscript"/>
        <sz val="14"/>
        <rFont val="Arial"/>
        <family val="2"/>
      </rPr>
      <t>MS c</t>
    </r>
  </si>
  <si>
    <t>risparmio offerto dal concorrente</t>
  </si>
  <si>
    <t>investimento offerto dal concorrente</t>
  </si>
  <si>
    <r>
      <t>P</t>
    </r>
    <r>
      <rPr>
        <vertAlign val="subscript"/>
        <sz val="10"/>
        <rFont val="Arial"/>
        <family val="2"/>
      </rPr>
      <t>E</t>
    </r>
  </si>
  <si>
    <t>punteggio assegnato all'offerta economica</t>
  </si>
  <si>
    <t>R</t>
  </si>
  <si>
    <t>ribasso sulla base di gara</t>
  </si>
  <si>
    <t>R max</t>
  </si>
  <si>
    <t>ribasso massimo offerto</t>
  </si>
  <si>
    <t>punteggio massimo del criterio economico</t>
  </si>
  <si>
    <t>40xR/Rmax</t>
  </si>
  <si>
    <t>maggiorazione investimenti</t>
  </si>
  <si>
    <t>Pi</t>
  </si>
  <si>
    <t>punteggio assegnato all'investimento</t>
  </si>
  <si>
    <t>M</t>
  </si>
  <si>
    <t>maggiorazione sulla base di gara</t>
  </si>
  <si>
    <t>M max</t>
  </si>
  <si>
    <t>maggiorazione massima offerta</t>
  </si>
  <si>
    <t>punteggio massimo del criterio</t>
  </si>
  <si>
    <t xml:space="preserve"> </t>
  </si>
  <si>
    <t>risparmio offerto sulla baseline a base di gara</t>
  </si>
  <si>
    <t>baseline economica manutenzione e conduzione impianti a base di gara</t>
  </si>
  <si>
    <t>piossasco</t>
  </si>
  <si>
    <t>tariffa consip acquisto gas</t>
  </si>
  <si>
    <t>mc gas</t>
  </si>
  <si>
    <t>mc lotto 1</t>
  </si>
  <si>
    <t>euro fornitura lotto 1 consip</t>
  </si>
  <si>
    <t>Euro/mc lotto 1</t>
  </si>
  <si>
    <t>valore manutenzione su consumo</t>
  </si>
  <si>
    <t>determinazione del canone a base di gara</t>
  </si>
  <si>
    <t>Risparmio economico minimo su manutenzione e conduzione a base di gara</t>
  </si>
  <si>
    <t>scr</t>
  </si>
  <si>
    <t>accise</t>
  </si>
  <si>
    <t>componente CMEM</t>
  </si>
  <si>
    <t>componente distribuzione e misura</t>
  </si>
  <si>
    <t>totale</t>
  </si>
  <si>
    <t>sconto</t>
  </si>
  <si>
    <t>prezzo scr</t>
  </si>
  <si>
    <t>consip</t>
  </si>
  <si>
    <r>
      <t>E</t>
    </r>
    <r>
      <rPr>
        <vertAlign val="subscript"/>
        <sz val="14"/>
        <rFont val="Arial"/>
        <family val="2"/>
      </rPr>
      <t>s</t>
    </r>
  </si>
  <si>
    <r>
      <t>r</t>
    </r>
    <r>
      <rPr>
        <vertAlign val="subscript"/>
        <sz val="14"/>
        <rFont val="Arial"/>
        <family val="2"/>
      </rPr>
      <t>bl min</t>
    </r>
  </si>
  <si>
    <t>baseline annua per durata contratto -1</t>
  </si>
  <si>
    <r>
      <t xml:space="preserve">baseline </t>
    </r>
    <r>
      <rPr>
        <vertAlign val="subscript"/>
        <sz val="14"/>
        <rFont val="Arial"/>
        <family val="2"/>
      </rPr>
      <t>cs</t>
    </r>
  </si>
  <si>
    <r>
      <t xml:space="preserve">baseline </t>
    </r>
    <r>
      <rPr>
        <vertAlign val="subscript"/>
        <sz val="14"/>
        <rFont val="Arial"/>
        <family val="2"/>
      </rPr>
      <t>tot a</t>
    </r>
  </si>
  <si>
    <r>
      <t>baseline</t>
    </r>
    <r>
      <rPr>
        <vertAlign val="subscript"/>
        <sz val="10"/>
        <rFont val="Arial"/>
        <family val="2"/>
      </rPr>
      <t xml:space="preserve"> tot Tc -1</t>
    </r>
  </si>
  <si>
    <r>
      <t>TG</t>
    </r>
    <r>
      <rPr>
        <vertAlign val="subscript"/>
        <sz val="10"/>
        <rFont val="Arial"/>
        <family val="2"/>
      </rPr>
      <t>s</t>
    </r>
  </si>
  <si>
    <r>
      <t>r</t>
    </r>
    <r>
      <rPr>
        <vertAlign val="subscript"/>
        <sz val="14"/>
        <rFont val="Arial"/>
        <family val="2"/>
      </rPr>
      <t>c min</t>
    </r>
  </si>
  <si>
    <r>
      <t>C</t>
    </r>
    <r>
      <rPr>
        <vertAlign val="subscript"/>
        <sz val="10"/>
        <rFont val="Arial"/>
        <family val="2"/>
      </rPr>
      <t>anno1</t>
    </r>
  </si>
  <si>
    <r>
      <t xml:space="preserve">baseline </t>
    </r>
    <r>
      <rPr>
        <vertAlign val="subscript"/>
        <sz val="10"/>
        <rFont val="Arial"/>
        <family val="2"/>
      </rPr>
      <t>tot a</t>
    </r>
    <r>
      <rPr>
        <sz val="10"/>
        <rFont val="Arial"/>
        <family val="2"/>
      </rPr>
      <t xml:space="preserve"> -10%</t>
    </r>
  </si>
  <si>
    <r>
      <t xml:space="preserve">baseline </t>
    </r>
    <r>
      <rPr>
        <vertAlign val="subscript"/>
        <sz val="14"/>
        <rFont val="Arial"/>
        <family val="2"/>
      </rPr>
      <t>MS</t>
    </r>
  </si>
  <si>
    <r>
      <t>C</t>
    </r>
    <r>
      <rPr>
        <vertAlign val="subscript"/>
        <sz val="14"/>
        <rFont val="Arial"/>
        <family val="2"/>
      </rPr>
      <t>c max</t>
    </r>
  </si>
  <si>
    <r>
      <t>C</t>
    </r>
    <r>
      <rPr>
        <vertAlign val="subscript"/>
        <sz val="14"/>
        <rFont val="Arial"/>
        <family val="2"/>
      </rPr>
      <t>M max</t>
    </r>
  </si>
  <si>
    <r>
      <t>C</t>
    </r>
    <r>
      <rPr>
        <vertAlign val="subscript"/>
        <sz val="14"/>
        <rFont val="Arial"/>
        <family val="2"/>
      </rPr>
      <t xml:space="preserve">c </t>
    </r>
  </si>
  <si>
    <r>
      <t>C</t>
    </r>
    <r>
      <rPr>
        <vertAlign val="subscript"/>
        <sz val="14"/>
        <rFont val="Arial"/>
        <family val="2"/>
      </rPr>
      <t>M</t>
    </r>
  </si>
  <si>
    <r>
      <t>M</t>
    </r>
    <r>
      <rPr>
        <vertAlign val="subscript"/>
        <sz val="14"/>
        <rFont val="Arial"/>
        <family val="2"/>
      </rPr>
      <t>i</t>
    </r>
  </si>
  <si>
    <t>Scuola Elementare Marinella</t>
  </si>
  <si>
    <t>Scuola Materna Via Volvera</t>
  </si>
  <si>
    <t>Scuola Media Moro</t>
  </si>
  <si>
    <t>Municipio</t>
  </si>
  <si>
    <t>Palestra Scuola Media Moro</t>
  </si>
  <si>
    <t>edificio</t>
  </si>
  <si>
    <t>consumi storici di gas metano</t>
  </si>
  <si>
    <t xml:space="preserve">totale </t>
  </si>
  <si>
    <t>risparmio di gas metano offerto</t>
  </si>
  <si>
    <t>%</t>
  </si>
  <si>
    <t>Smc</t>
  </si>
  <si>
    <t>risparmio di gas metano minimo a base di gara</t>
  </si>
  <si>
    <t>COMUNE DI BRUINO</t>
  </si>
  <si>
    <t>COMUNE DI NONE</t>
  </si>
  <si>
    <t>Scuola Materna Rubiano</t>
  </si>
  <si>
    <t>COMUNE DI ORBASSANO</t>
  </si>
  <si>
    <t>Scuola elementare Fermi</t>
  </si>
  <si>
    <t>Palestra Neghelli</t>
  </si>
  <si>
    <t>Scuola Elementare Pavese + Scuola per l'infanzia Andersen</t>
  </si>
  <si>
    <t>Scuola Elementare Rodari</t>
  </si>
  <si>
    <t>COMUNE DI PIOSSASCO</t>
  </si>
  <si>
    <t>Scuola Materna Andersen</t>
  </si>
  <si>
    <t>Scuola Madia Cruto</t>
  </si>
  <si>
    <t>Scuola Materna Montessori</t>
  </si>
  <si>
    <t>COMUNE DI VOLVERA</t>
  </si>
  <si>
    <t>Scuola elementare Don Balbiano</t>
  </si>
  <si>
    <t>Scuola dell'infanzia Don Milani</t>
  </si>
  <si>
    <t>Scuola Elementare Primo Levi</t>
  </si>
  <si>
    <t>Istituto Comprensivo Scuola Media Campana</t>
  </si>
  <si>
    <t>Scuola Materna Rodari</t>
  </si>
  <si>
    <t xml:space="preserve">ALLEGATO C </t>
  </si>
  <si>
    <t>TOTALE CONSUMI DA BASELINE</t>
  </si>
  <si>
    <t xml:space="preserve">note </t>
  </si>
  <si>
    <t>ALLEGATO D</t>
  </si>
  <si>
    <t xml:space="preserve">interventi </t>
  </si>
  <si>
    <t>vita utile</t>
  </si>
  <si>
    <t>contratto</t>
  </si>
  <si>
    <t>U.M.</t>
  </si>
  <si>
    <t>cad</t>
  </si>
  <si>
    <r>
      <t>m</t>
    </r>
    <r>
      <rPr>
        <vertAlign val="superscript"/>
        <sz val="10"/>
        <rFont val="Arial"/>
        <family val="2"/>
      </rPr>
      <t>2</t>
    </r>
  </si>
  <si>
    <t>sostituzione infissi</t>
  </si>
  <si>
    <t>cappotto esterno</t>
  </si>
  <si>
    <t xml:space="preserve">insuflaggio </t>
  </si>
  <si>
    <r>
      <t>m</t>
    </r>
    <r>
      <rPr>
        <vertAlign val="superscript"/>
        <sz val="10"/>
        <rFont val="Arial"/>
        <family val="2"/>
      </rPr>
      <t>3</t>
    </r>
  </si>
  <si>
    <t>isolamento involucro opaco orizzontale (coibentazione solaio su sottotetto)</t>
  </si>
  <si>
    <t>impianto VMC</t>
  </si>
  <si>
    <t>impianto solare termico</t>
  </si>
  <si>
    <t>isolamento involucro opaco orizzontale (solaio disperdente su terreno o ambiente non riscaldato)</t>
  </si>
  <si>
    <t>isolamento involucro opaco orizzontale (coibentazione copertura)</t>
  </si>
  <si>
    <t>v.u. post contratto pesata</t>
  </si>
  <si>
    <t>verifica</t>
  </si>
  <si>
    <t>rifacimento CT</t>
  </si>
  <si>
    <t>VU = valore durabilità interventi offerti</t>
  </si>
  <si>
    <t>note</t>
  </si>
  <si>
    <t>ALLEGATO E</t>
  </si>
  <si>
    <t>ALLEGATO F</t>
  </si>
  <si>
    <t>quantità</t>
  </si>
  <si>
    <t>importo Euro</t>
  </si>
  <si>
    <t>sostituzione di chiusure trasparenti comprensive di infissi</t>
  </si>
  <si>
    <r>
      <t xml:space="preserve">rifacimento CT con Pn int </t>
    </r>
    <r>
      <rPr>
        <sz val="10"/>
        <rFont val="Calibri"/>
        <family val="2"/>
      </rPr>
      <t>≤ 35 kWt</t>
    </r>
  </si>
  <si>
    <t>kWt</t>
  </si>
  <si>
    <t>rifacimento CT con Pn int &gt; 35 kWt</t>
  </si>
  <si>
    <t>lavori</t>
  </si>
  <si>
    <t>prezzo unitario offerto Euro/U.M.</t>
  </si>
  <si>
    <t xml:space="preserve">strutture opache orizzontali - isolamento coperture dall'esterno </t>
  </si>
  <si>
    <t>strutture opache orizzontali - isolamento coperture con nuova copertura ventilata</t>
  </si>
  <si>
    <t>strutture opache orizzontali - isolamento coperture dall'interno</t>
  </si>
  <si>
    <t>strutture opache orizzontali - isolamento sottotetto non riscaldato</t>
  </si>
  <si>
    <t>strutture opache orizzontali -  isolamento pavimenti dall'esterno</t>
  </si>
  <si>
    <t>strutture opache orizzontali -  isolamento pavimenti interno</t>
  </si>
  <si>
    <t>strutture opache verticali - isolamento pareti perimetrali dall'esterno</t>
  </si>
  <si>
    <t>strutture opache verticali - isolamento pareti perimetrali dall'interno</t>
  </si>
  <si>
    <t>strutture opache verticali - isolamento intercapedine pareti perimetrali intercapedine</t>
  </si>
  <si>
    <t>ALTRO</t>
  </si>
  <si>
    <t>prezzo unitario massimo Euro/U.M. *</t>
  </si>
  <si>
    <t>verifica **</t>
  </si>
  <si>
    <t>verifica**</t>
  </si>
  <si>
    <t>** l'offerta è ritenuta valida se le quantità offerte sono inferiori rispetto a quelle massime</t>
  </si>
  <si>
    <t xml:space="preserve">    la percentuale di risparmio di metano offerto nel caso di cambio totale o parziale del vettore energetico dovrà essere verificato secondo quanto previsto nel PMVP </t>
  </si>
  <si>
    <t>TOTALE</t>
  </si>
  <si>
    <t>TOTALE LAVORI BRUINO</t>
  </si>
  <si>
    <t>TOTALE LAVORI NONE</t>
  </si>
  <si>
    <t>TOTALE LAVORI ORBASSANO</t>
  </si>
  <si>
    <t>TOTALE LAVORI PIOSSASCO</t>
  </si>
  <si>
    <t>TOTALE LAVORI VOLVERA</t>
  </si>
  <si>
    <t>IMPORTO COMPLESSIVO DELLE OPERE E DEI LAVORI COMPRESI GLI ONERI INTRINSECI DELLA SICUREZZA (D.lgs 81/08)</t>
  </si>
  <si>
    <t>ONERI SPECIALI DELLA SICUREZZA SUI LAVORI (D.lgs 81/08)</t>
  </si>
  <si>
    <t>SPESE TECNICHE PER PROGETTAZIONE E DL</t>
  </si>
  <si>
    <t>SPESE TECNICHE PER COLLAUDO</t>
  </si>
  <si>
    <t>SPESE TECNICHE PER PMVP</t>
  </si>
  <si>
    <t>importo in Euro</t>
  </si>
  <si>
    <t>voci</t>
  </si>
  <si>
    <t>ONERI FINANZIARI</t>
  </si>
  <si>
    <t>impianto fotovoltaico fino a 3kW</t>
  </si>
  <si>
    <t>impianto fotovoltaico oltre i 20 kW</t>
  </si>
  <si>
    <t xml:space="preserve">ALLEGATO B </t>
  </si>
  <si>
    <r>
      <t xml:space="preserve">I </t>
    </r>
    <r>
      <rPr>
        <b/>
        <vertAlign val="subscript"/>
        <sz val="14"/>
        <rFont val="Arial"/>
        <family val="2"/>
      </rPr>
      <t>off c</t>
    </r>
    <r>
      <rPr>
        <b/>
        <sz val="14"/>
        <rFont val="Arial"/>
        <family val="2"/>
      </rPr>
      <t xml:space="preserve"> = valore complessivo degli investimenti offerti</t>
    </r>
  </si>
  <si>
    <t xml:space="preserve">baseline economica consumo energetico </t>
  </si>
  <si>
    <t xml:space="preserve">baseline economica manutenzione e conduzione impianti </t>
  </si>
  <si>
    <t xml:space="preserve">calcolo baseline </t>
  </si>
  <si>
    <t>quota canone relativa ai consumi di combustibile massima</t>
  </si>
  <si>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min</t>
    </r>
  </si>
  <si>
    <t>investimenti minimi richiesti per la riqualificazione energetica degli edifici</t>
  </si>
  <si>
    <r>
      <t>C</t>
    </r>
    <r>
      <rPr>
        <vertAlign val="subscript"/>
        <sz val="14"/>
        <rFont val="Arial"/>
        <family val="2"/>
      </rPr>
      <t>I</t>
    </r>
    <r>
      <rPr>
        <sz val="14"/>
        <rFont val="Arial"/>
        <family val="2"/>
      </rPr>
      <t xml:space="preserve"> </t>
    </r>
    <r>
      <rPr>
        <vertAlign val="subscript"/>
        <sz val="14"/>
        <rFont val="Arial"/>
        <family val="2"/>
      </rPr>
      <t>min</t>
    </r>
  </si>
  <si>
    <t xml:space="preserve">quota canone relativa agli interventi di riqualificazione = Imin/Tc-1 </t>
  </si>
  <si>
    <r>
      <t>canone annuo  oltre il primo = C</t>
    </r>
    <r>
      <rPr>
        <vertAlign val="subscript"/>
        <sz val="10"/>
        <rFont val="Arial"/>
        <family val="2"/>
      </rPr>
      <t>C max</t>
    </r>
    <r>
      <rPr>
        <sz val="10"/>
        <rFont val="Arial"/>
        <family val="2"/>
      </rPr>
      <t xml:space="preserve"> + C</t>
    </r>
    <r>
      <rPr>
        <vertAlign val="subscript"/>
        <sz val="10"/>
        <rFont val="Arial"/>
        <family val="2"/>
      </rPr>
      <t>M max</t>
    </r>
    <r>
      <rPr>
        <sz val="10"/>
        <rFont val="Arial"/>
        <family val="2"/>
      </rPr>
      <t xml:space="preserve"> + C</t>
    </r>
    <r>
      <rPr>
        <vertAlign val="subscript"/>
        <sz val="10"/>
        <rFont val="Arial"/>
        <family val="2"/>
      </rPr>
      <t>I min</t>
    </r>
  </si>
  <si>
    <t>quota canone relativa alla gestione ed agli interventi di manutenzione massima</t>
  </si>
  <si>
    <r>
      <t>C</t>
    </r>
    <r>
      <rPr>
        <vertAlign val="subscript"/>
        <sz val="14"/>
        <rFont val="Arial"/>
        <family val="2"/>
      </rPr>
      <t xml:space="preserve"> max</t>
    </r>
  </si>
  <si>
    <r>
      <rPr>
        <b/>
        <sz val="14"/>
        <rFont val="Arial"/>
        <family val="2"/>
      </rPr>
      <t>A</t>
    </r>
    <r>
      <rPr>
        <vertAlign val="subscript"/>
        <sz val="14"/>
        <rFont val="Arial"/>
        <family val="2"/>
      </rPr>
      <t>tot-1 max</t>
    </r>
  </si>
  <si>
    <r>
      <t xml:space="preserve">canone annuo oltre il primo (C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>) per la durata del contratto (T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 -1</t>
    </r>
  </si>
  <si>
    <r>
      <t>A</t>
    </r>
    <r>
      <rPr>
        <vertAlign val="subscript"/>
        <sz val="14"/>
        <rFont val="Arial"/>
        <family val="2"/>
      </rPr>
      <t>tot max</t>
    </r>
  </si>
  <si>
    <r>
      <t>valore complessivo a base di gare = A</t>
    </r>
    <r>
      <rPr>
        <vertAlign val="subscript"/>
        <sz val="10"/>
        <rFont val="Arial"/>
        <family val="2"/>
      </rPr>
      <t>tot-1max</t>
    </r>
    <r>
      <rPr>
        <sz val="10"/>
        <rFont val="Arial"/>
        <family val="2"/>
      </rPr>
      <t>+ C</t>
    </r>
    <r>
      <rPr>
        <vertAlign val="subscript"/>
        <sz val="10"/>
        <rFont val="Arial"/>
        <family val="2"/>
      </rPr>
      <t>anno1</t>
    </r>
  </si>
  <si>
    <t>ALLEGATO G</t>
  </si>
  <si>
    <t xml:space="preserve">ALLEGATO H - offerta economica </t>
  </si>
  <si>
    <t>quota canone relativa ai consumi di combustibile offerta</t>
  </si>
  <si>
    <t>risparmio economico minimo a base di gara</t>
  </si>
  <si>
    <t>quota canone relativa alla gestione ed agli interventidi manutenzione offerta</t>
  </si>
  <si>
    <r>
      <t>I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</t>
    </r>
  </si>
  <si>
    <r>
      <t>C</t>
    </r>
    <r>
      <rPr>
        <vertAlign val="subscript"/>
        <sz val="14"/>
        <rFont val="Arial"/>
        <family val="2"/>
      </rPr>
      <t>I</t>
    </r>
  </si>
  <si>
    <t>quota canone relativa agli interventi di riqualificazione = Imin/Tc-1 offerta</t>
  </si>
  <si>
    <r>
      <t>canone annuo oltre il primo (C</t>
    </r>
    <r>
      <rPr>
        <sz val="10"/>
        <rFont val="Arial"/>
        <family val="2"/>
      </rPr>
      <t>) per la durata del contratto (T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 -1 massimo</t>
    </r>
  </si>
  <si>
    <r>
      <t>canone annuo  oltre il primo = C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2"/>
      </rPr>
      <t xml:space="preserve"> + C</t>
    </r>
    <r>
      <rPr>
        <vertAlign val="subscript"/>
        <sz val="10"/>
        <rFont val="Arial"/>
        <family val="2"/>
      </rPr>
      <t xml:space="preserve">M </t>
    </r>
    <r>
      <rPr>
        <sz val="10"/>
        <rFont val="Arial"/>
        <family val="2"/>
      </rPr>
      <t xml:space="preserve"> + C</t>
    </r>
    <r>
      <rPr>
        <vertAlign val="subscript"/>
        <sz val="10"/>
        <rFont val="Arial"/>
        <family val="2"/>
      </rPr>
      <t xml:space="preserve">I </t>
    </r>
  </si>
  <si>
    <r>
      <t>A</t>
    </r>
    <r>
      <rPr>
        <vertAlign val="subscript"/>
        <sz val="14"/>
        <rFont val="Arial"/>
        <family val="2"/>
      </rPr>
      <t>tot-1 off</t>
    </r>
  </si>
  <si>
    <r>
      <t>r</t>
    </r>
    <r>
      <rPr>
        <vertAlign val="subscript"/>
        <sz val="14"/>
        <rFont val="Arial"/>
        <family val="2"/>
      </rPr>
      <t>bl off</t>
    </r>
  </si>
  <si>
    <r>
      <t>R</t>
    </r>
    <r>
      <rPr>
        <b/>
        <vertAlign val="subscript"/>
        <sz val="14"/>
        <rFont val="Arial"/>
        <family val="2"/>
      </rPr>
      <t>bl off tot</t>
    </r>
    <r>
      <rPr>
        <b/>
        <sz val="14"/>
        <rFont val="Arial"/>
        <family val="2"/>
      </rPr>
      <t xml:space="preserve"> = VALORE ATTUALE DELLO SGRAVIO DI BILANCIO PER I COMUNI DI CUI IL PERIODO DI CONSESSIONE</t>
    </r>
  </si>
  <si>
    <r>
      <t>I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min</t>
    </r>
  </si>
  <si>
    <t>TG</t>
  </si>
  <si>
    <t>tariffa storica acquisto gas</t>
  </si>
  <si>
    <t>metano</t>
  </si>
  <si>
    <t>butano</t>
  </si>
  <si>
    <t>gasolio</t>
  </si>
  <si>
    <t>GPL</t>
  </si>
  <si>
    <t>legname</t>
  </si>
  <si>
    <t>pellet</t>
  </si>
  <si>
    <t>olio combustibile</t>
  </si>
  <si>
    <t>carbone</t>
  </si>
  <si>
    <t>elettrico</t>
  </si>
  <si>
    <t>propano</t>
  </si>
  <si>
    <t>consumi post interventi</t>
  </si>
  <si>
    <t>consumi post intervetno in gas metano</t>
  </si>
  <si>
    <t>Smc di metano equivalenti</t>
  </si>
  <si>
    <t>vettore</t>
  </si>
  <si>
    <t>nessuno</t>
  </si>
  <si>
    <t>varia</t>
  </si>
  <si>
    <t>vettore energetico utilizzato in seguito agli interventi di riqualificazione energetica**</t>
  </si>
  <si>
    <t>fattore di conversione vettore energetico post intervento - gas metano vedi tabella 1***</t>
  </si>
  <si>
    <t>**** riportare il fattore di conversione del vettore energetico scelto sulla base di quanto indicato in tabella 1</t>
  </si>
  <si>
    <t>*** indicare il valore di combustibile che si prevede di consumare dopo gli interventi</t>
  </si>
  <si>
    <t>n.b. compilare soltanto le celle arancioni</t>
  </si>
  <si>
    <t>** indicare il vettore energetico che si intende utilizzare scegliendo tra quelli previsti nella tabella 1 del presente allegato, sono escluse le fonti rinnovabili ad eccezione della biomassa legnosa e dei  pellet
è possibile indicare fino a due vettori energetici nel caso in cui si preveda l'utilizzo di più fonti.</t>
  </si>
  <si>
    <t>percentuale di consumo storico coperta da fonti non rinnovabili a seguito degli interventi</t>
  </si>
  <si>
    <t xml:space="preserve">percentuale di consumo storico coperta da fonti rinnovabili </t>
  </si>
  <si>
    <t>percentuale di consumo storico coperta da interventi di efficienza energetica</t>
  </si>
  <si>
    <t>percentuale di consumo storico coperta da fonti non rinnovabili a seguito degli interventi*</t>
  </si>
  <si>
    <t>percentuale di consumo storico coperta da fonti rinnovabili **</t>
  </si>
  <si>
    <t>* indicare la percentuale di copertura dei consumi storici aseguito dell'utilizzo di fonti non rinnovabili</t>
  </si>
  <si>
    <t>** indicare la percentuale di copertura dei consumi storici a seguito dell'utilizzo di fonti rinnovabili comprese le biomasse</t>
  </si>
  <si>
    <t>TABELLA 1 conversione in gas metano</t>
  </si>
  <si>
    <t>fattore di conversione vettore energetico post intervento - gas metano vedi tabella 1****</t>
  </si>
  <si>
    <t>consumi post interventi ***</t>
  </si>
  <si>
    <t>kg</t>
  </si>
  <si>
    <t>ren gen del 2013</t>
  </si>
  <si>
    <t>Sm³</t>
  </si>
  <si>
    <t>u.m.</t>
  </si>
  <si>
    <r>
      <t>vita utile post contratto             VU</t>
    </r>
    <r>
      <rPr>
        <vertAlign val="subscript"/>
        <sz val="10"/>
        <rFont val="Arial"/>
        <family val="2"/>
      </rPr>
      <t>post</t>
    </r>
  </si>
  <si>
    <r>
      <t>quantità max   Q</t>
    </r>
    <r>
      <rPr>
        <vertAlign val="subscript"/>
        <sz val="10"/>
        <rFont val="Arial"/>
        <family val="2"/>
      </rPr>
      <t>max</t>
    </r>
  </si>
  <si>
    <r>
      <t>quantità offerta*       Q</t>
    </r>
    <r>
      <rPr>
        <vertAlign val="subscript"/>
        <sz val="10"/>
        <rFont val="Arial"/>
        <family val="2"/>
      </rPr>
      <t>off</t>
    </r>
  </si>
  <si>
    <t xml:space="preserve">CO2 risparmiata dovuta all'utilizzo di FER            ton </t>
  </si>
  <si>
    <t>quantità *</t>
  </si>
  <si>
    <t>prezzo unitario massimo Euro/U.M. **</t>
  </si>
  <si>
    <t>verifica ***</t>
  </si>
  <si>
    <t>*** l'offerta è ritenuta valida se i prezzi unitari offerti sono inferiori o uguali a quelli massimi di riferimento</t>
  </si>
  <si>
    <t>** indicare i prezzi unitari offerti devono comprendere tutti i materiali e le lavorazioni necessarie ad eseguire l'intervento di efficientamento offerto, devono intendersi esclusigli oneri speciali della sicurezza, le spese tecniche e gli eventuali oneri finanziari</t>
  </si>
  <si>
    <t>* indicare la quantità dell'intervento di efficientamento offerto</t>
  </si>
  <si>
    <t xml:space="preserve">* l'offerta è ritenuta valida se le percentuali di risparmio complessive del singolo comunie sono maggiori o uguali rispetto al risparmio di gas metano minimo a base di gara </t>
  </si>
  <si>
    <t>impianto fotovoltaico &gt; 10 kWp</t>
  </si>
  <si>
    <t>impianto solare termico &gt; 10 mq</t>
  </si>
  <si>
    <t xml:space="preserve">  * le quantità offerte per ogni tipologia di intervento si intendono come sommatoria dei singoli interventi previsti per ogni edificio</t>
  </si>
  <si>
    <t>compilare solo le celle arancioni</t>
  </si>
  <si>
    <t>Timbro e firma</t>
  </si>
  <si>
    <t>Timbro e Firma</t>
  </si>
  <si>
    <r>
      <t>C</t>
    </r>
    <r>
      <rPr>
        <b/>
        <vertAlign val="subscript"/>
        <sz val="14"/>
        <rFont val="Arial"/>
        <family val="2"/>
      </rPr>
      <t>tot</t>
    </r>
    <r>
      <rPr>
        <b/>
        <sz val="14"/>
        <rFont val="Arial"/>
        <family val="2"/>
      </rPr>
      <t xml:space="preserve"> = VALORE COMPLESSIVO DEI LAVORI OFFERTI - CRITERIO B1</t>
    </r>
  </si>
  <si>
    <r>
      <t>investimenti minimi richiesti per la riqualificazione energetica degli edifici  I</t>
    </r>
    <r>
      <rPr>
        <vertAlign val="subscript"/>
        <sz val="10"/>
        <rFont val="Arial"/>
        <family val="2"/>
      </rPr>
      <t>min</t>
    </r>
  </si>
  <si>
    <t>impianto fotovoltaico da 3 a 20 kW</t>
  </si>
  <si>
    <t>kWp</t>
  </si>
  <si>
    <r>
      <t>r</t>
    </r>
    <r>
      <rPr>
        <vertAlign val="subscript"/>
        <sz val="14"/>
        <rFont val="Arial"/>
        <family val="2"/>
      </rPr>
      <t>cc</t>
    </r>
  </si>
  <si>
    <t>ORBASSANO - STIMA  DEI LAVORI</t>
  </si>
  <si>
    <t>PIOSSASCO - STIMA  DEI LAVORI</t>
  </si>
  <si>
    <t>VOLVERA - STIMA DEI LAVORI</t>
  </si>
  <si>
    <t>NONE - STIMA DEI LAVORI</t>
  </si>
  <si>
    <t>BRUINO - STIMA DEI LAVORI</t>
  </si>
  <si>
    <t>NONE - QUADRO ECONOMICO DEGLI INVESTIMENTI</t>
  </si>
  <si>
    <t>ORBASSANO - QUADRO ECONOMICO DEGLI INVESTIMENTI</t>
  </si>
  <si>
    <t>PIOSSASCO - QUADRO ECONOMICO DEGLI INVESTIMENTI</t>
  </si>
  <si>
    <t>VOLVERA - QUADRO ECONOMICO DEGLI INVESTIMENTI</t>
  </si>
  <si>
    <t>istruzioni per la compilazione dell'allegato:</t>
  </si>
  <si>
    <t>colore arancione:  celle da compilare</t>
  </si>
  <si>
    <t>colore grigio:  celle precompilate</t>
  </si>
  <si>
    <t>colore azzurro:  celle calcolate automaticamente</t>
  </si>
  <si>
    <t>celle verdi:  risultati utili alla determinazione del punteggio del criterio</t>
  </si>
  <si>
    <t>colore arancione: celle da compilare</t>
  </si>
  <si>
    <t>celle verdi: risultati utili alla determinazione del punteggio del criterio</t>
  </si>
  <si>
    <t>colore grigio: celle precompilate</t>
  </si>
  <si>
    <t>colore azzurro: celle calcolate automaticamente</t>
  </si>
  <si>
    <r>
      <t>R</t>
    </r>
    <r>
      <rPr>
        <b/>
        <vertAlign val="subscript"/>
        <sz val="14"/>
        <rFont val="Arial"/>
        <family val="2"/>
      </rPr>
      <t>CO2</t>
    </r>
    <r>
      <rPr>
        <b/>
        <sz val="14"/>
        <rFont val="Arial"/>
        <family val="2"/>
      </rPr>
      <t xml:space="preserve"> =RIDUZIONE DI EMISSIONE DI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A SEGUITO DI IMPIEGO DI FONTI RINNOVABILI ESPRESSO IN TON </t>
    </r>
  </si>
  <si>
    <t>R = TOTALE RISPARMIO ENERGETICO GARANTITO IN SMC</t>
  </si>
  <si>
    <r>
      <t>r</t>
    </r>
    <r>
      <rPr>
        <b/>
        <vertAlign val="subscript"/>
        <sz val="14"/>
        <rFont val="Arial"/>
        <family val="2"/>
      </rPr>
      <t>c c</t>
    </r>
    <r>
      <rPr>
        <b/>
        <sz val="14"/>
        <rFont val="Arial"/>
        <family val="2"/>
      </rPr>
      <t xml:space="preserve"> = TOTALE RISPARMIO ENERGETICO GARANTITO </t>
    </r>
  </si>
  <si>
    <t>base line economica  annua</t>
  </si>
  <si>
    <t>servizi divendita</t>
  </si>
  <si>
    <t xml:space="preserve">quota fissa </t>
  </si>
  <si>
    <t>quota energia</t>
  </si>
  <si>
    <t>SERVIZIDI RETE</t>
  </si>
  <si>
    <t>quotafissa</t>
  </si>
  <si>
    <t>quota variabile</t>
  </si>
  <si>
    <t>quota trasporto</t>
  </si>
  <si>
    <t xml:space="preserve">tariffa di distribuzione </t>
  </si>
  <si>
    <t xml:space="preserve">imposta consumo accisa </t>
  </si>
  <si>
    <t>addizionale regionale</t>
  </si>
  <si>
    <t xml:space="preserve">tariffa consip acquisto gas </t>
  </si>
  <si>
    <t>BRUINO - QUADRO ECONOMICO DEGLI INVESTIMENTI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</si>
</sst>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€&quot;\ #,##0"/>
    <numFmt numFmtId="177" formatCode="&quot;€&quot;\ #,##0.00"/>
    <numFmt numFmtId="178" formatCode="#,##0.0000"/>
    <numFmt numFmtId="179" formatCode="#,##0.0"/>
    <numFmt numFmtId="180" formatCode="#,##0.000"/>
    <numFmt numFmtId="181" formatCode="&quot;Attivo&quot;;&quot;Attivo&quot;;&quot;Inattivo&quot;"/>
    <numFmt numFmtId="182" formatCode="[$€-2]\ #.##000_);[Red]\([$€-2]\ #.##000\)"/>
    <numFmt numFmtId="183" formatCode="&quot;€&quot;\ #,##0.000"/>
  </numFmts>
  <fonts count="35">
    <font>
      <sz val="10"/>
      <name val="Arial"/>
      <family val="0"/>
    </font>
    <font>
      <b/>
      <sz val="10"/>
      <name val="Arial"/>
      <family val="2"/>
    </font>
    <font>
      <i/>
      <sz val="14"/>
      <name val="Times New Roman"/>
      <family val="1"/>
    </font>
    <font>
      <vertAlign val="subscript"/>
      <sz val="1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4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6" fontId="0" fillId="24" borderId="0" xfId="45" applyNumberFormat="1" applyFont="1" applyFill="1" applyBorder="1" applyAlignment="1">
      <alignment vertical="top" wrapText="1"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25" borderId="0" xfId="0" applyFont="1" applyFill="1" applyBorder="1" applyAlignment="1">
      <alignment/>
    </xf>
    <xf numFmtId="176" fontId="0" fillId="25" borderId="0" xfId="45" applyNumberFormat="1" applyFont="1" applyFill="1" applyBorder="1" applyAlignment="1">
      <alignment vertical="top" wrapText="1"/>
    </xf>
    <xf numFmtId="43" fontId="0" fillId="25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176" fontId="0" fillId="0" borderId="0" xfId="0" applyNumberFormat="1" applyFont="1" applyFill="1" applyBorder="1" applyAlignment="1">
      <alignment vertical="top" wrapText="1"/>
    </xf>
    <xf numFmtId="9" fontId="0" fillId="0" borderId="0" xfId="50" applyFont="1" applyFill="1" applyBorder="1" applyAlignment="1">
      <alignment vertical="top" wrapText="1"/>
    </xf>
    <xf numFmtId="176" fontId="0" fillId="0" borderId="0" xfId="0" applyNumberFormat="1" applyFont="1" applyFill="1" applyBorder="1" applyAlignment="1">
      <alignment/>
    </xf>
    <xf numFmtId="10" fontId="0" fillId="0" borderId="0" xfId="5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vertical="top" wrapText="1"/>
    </xf>
    <xf numFmtId="176" fontId="1" fillId="0" borderId="0" xfId="0" applyNumberFormat="1" applyFont="1" applyFill="1" applyBorder="1" applyAlignment="1">
      <alignment/>
    </xf>
    <xf numFmtId="10" fontId="1" fillId="0" borderId="0" xfId="50" applyNumberFormat="1" applyFont="1" applyFill="1" applyBorder="1" applyAlignment="1">
      <alignment/>
    </xf>
    <xf numFmtId="176" fontId="0" fillId="0" borderId="0" xfId="45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50" applyFont="1" applyFill="1" applyBorder="1" applyAlignment="1">
      <alignment/>
    </xf>
    <xf numFmtId="176" fontId="0" fillId="0" borderId="0" xfId="50" applyNumberFormat="1" applyFont="1" applyFill="1" applyBorder="1" applyAlignment="1">
      <alignment vertical="top" wrapText="1"/>
    </xf>
    <xf numFmtId="9" fontId="1" fillId="0" borderId="0" xfId="50" applyFont="1" applyFill="1" applyBorder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" fontId="0" fillId="16" borderId="10" xfId="0" applyNumberFormat="1" applyFill="1" applyBorder="1" applyAlignment="1" applyProtection="1">
      <alignment horizontal="center" vertical="center" wrapText="1"/>
      <protection/>
    </xf>
    <xf numFmtId="0" fontId="0" fillId="16" borderId="11" xfId="0" applyFill="1" applyBorder="1" applyAlignment="1" applyProtection="1">
      <alignment horizontal="center" vertical="center"/>
      <protection/>
    </xf>
    <xf numFmtId="0" fontId="0" fillId="16" borderId="12" xfId="0" applyFill="1" applyBorder="1" applyAlignment="1" applyProtection="1">
      <alignment horizontal="center" vertical="center"/>
      <protection/>
    </xf>
    <xf numFmtId="0" fontId="1" fillId="16" borderId="13" xfId="0" applyFont="1" applyFill="1" applyBorder="1" applyAlignment="1" applyProtection="1">
      <alignment horizontal="center" vertical="center"/>
      <protection/>
    </xf>
    <xf numFmtId="0" fontId="0" fillId="16" borderId="11" xfId="0" applyFont="1" applyFill="1" applyBorder="1" applyAlignment="1" applyProtection="1">
      <alignment horizontal="center" vertical="center"/>
      <protection/>
    </xf>
    <xf numFmtId="0" fontId="0" fillId="16" borderId="14" xfId="0" applyFont="1" applyFill="1" applyBorder="1" applyAlignment="1" applyProtection="1">
      <alignment horizontal="center" vertical="center"/>
      <protection/>
    </xf>
    <xf numFmtId="0" fontId="0" fillId="16" borderId="12" xfId="0" applyFont="1" applyFill="1" applyBorder="1" applyAlignment="1" applyProtection="1">
      <alignment horizontal="center" vertical="center"/>
      <protection/>
    </xf>
    <xf numFmtId="0" fontId="0" fillId="16" borderId="13" xfId="0" applyFont="1" applyFill="1" applyBorder="1" applyAlignment="1" applyProtection="1">
      <alignment horizontal="center" vertical="center"/>
      <protection/>
    </xf>
    <xf numFmtId="0" fontId="0" fillId="16" borderId="10" xfId="0" applyFont="1" applyFill="1" applyBorder="1" applyAlignment="1" applyProtection="1">
      <alignment horizontal="center" vertical="center"/>
      <protection/>
    </xf>
    <xf numFmtId="0" fontId="0" fillId="16" borderId="10" xfId="0" applyFill="1" applyBorder="1" applyAlignment="1" applyProtection="1">
      <alignment horizontal="center" vertical="center" wrapText="1"/>
      <protection/>
    </xf>
    <xf numFmtId="0" fontId="0" fillId="16" borderId="10" xfId="0" applyFill="1" applyBorder="1" applyAlignment="1" applyProtection="1">
      <alignment horizontal="center" vertical="center"/>
      <protection/>
    </xf>
    <xf numFmtId="0" fontId="0" fillId="16" borderId="15" xfId="0" applyFill="1" applyBorder="1" applyAlignment="1" applyProtection="1">
      <alignment horizontal="center" vertical="center"/>
      <protection/>
    </xf>
    <xf numFmtId="0" fontId="0" fillId="11" borderId="10" xfId="0" applyFill="1" applyBorder="1" applyAlignment="1" applyProtection="1">
      <alignment horizontal="center" vertical="center"/>
      <protection locked="0"/>
    </xf>
    <xf numFmtId="3" fontId="0" fillId="16" borderId="16" xfId="0" applyNumberFormat="1" applyFill="1" applyBorder="1" applyAlignment="1" applyProtection="1">
      <alignment horizontal="center" vertical="center"/>
      <protection/>
    </xf>
    <xf numFmtId="3" fontId="0" fillId="16" borderId="10" xfId="0" applyNumberFormat="1" applyFill="1" applyBorder="1" applyAlignment="1" applyProtection="1">
      <alignment horizontal="center" vertical="center"/>
      <protection/>
    </xf>
    <xf numFmtId="3" fontId="1" fillId="16" borderId="10" xfId="0" applyNumberFormat="1" applyFont="1" applyFill="1" applyBorder="1" applyAlignment="1" applyProtection="1">
      <alignment horizontal="center" vertical="center"/>
      <protection/>
    </xf>
    <xf numFmtId="3" fontId="1" fillId="0" borderId="17" xfId="0" applyNumberFormat="1" applyFont="1" applyBorder="1" applyAlignment="1" applyProtection="1">
      <alignment horizontal="center" vertical="center"/>
      <protection/>
    </xf>
    <xf numFmtId="177" fontId="0" fillId="11" borderId="10" xfId="0" applyNumberFormat="1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 applyProtection="1">
      <alignment horizontal="center" vertical="center"/>
      <protection locked="0"/>
    </xf>
    <xf numFmtId="177" fontId="0" fillId="11" borderId="11" xfId="0" applyNumberFormat="1" applyFill="1" applyBorder="1" applyAlignment="1" applyProtection="1">
      <alignment horizontal="center" vertical="center"/>
      <protection locked="0"/>
    </xf>
    <xf numFmtId="8" fontId="0" fillId="0" borderId="0" xfId="0" applyNumberFormat="1" applyAlignment="1">
      <alignment/>
    </xf>
    <xf numFmtId="0" fontId="0" fillId="16" borderId="13" xfId="0" applyFill="1" applyBorder="1" applyAlignment="1" applyProtection="1">
      <alignment horizontal="center" vertical="center"/>
      <protection/>
    </xf>
    <xf numFmtId="1" fontId="0" fillId="16" borderId="10" xfId="0" applyNumberFormat="1" applyFont="1" applyFill="1" applyBorder="1" applyAlignment="1" applyProtection="1">
      <alignment horizontal="center" vertical="center" wrapText="1"/>
      <protection/>
    </xf>
    <xf numFmtId="1" fontId="0" fillId="16" borderId="18" xfId="0" applyNumberFormat="1" applyFont="1" applyFill="1" applyBorder="1" applyAlignment="1" applyProtection="1">
      <alignment horizontal="center" vertical="center" wrapText="1"/>
      <protection/>
    </xf>
    <xf numFmtId="0" fontId="0" fillId="16" borderId="13" xfId="0" applyFont="1" applyFill="1" applyBorder="1" applyAlignment="1" applyProtection="1">
      <alignment horizontal="center" vertical="center" wrapText="1"/>
      <protection/>
    </xf>
    <xf numFmtId="0" fontId="1" fillId="16" borderId="12" xfId="0" applyFont="1" applyFill="1" applyBorder="1" applyAlignment="1" applyProtection="1">
      <alignment horizontal="center" vertical="center"/>
      <protection/>
    </xf>
    <xf numFmtId="3" fontId="1" fillId="16" borderId="16" xfId="0" applyNumberFormat="1" applyFont="1" applyFill="1" applyBorder="1" applyAlignment="1" applyProtection="1">
      <alignment horizontal="center" vertical="center"/>
      <protection/>
    </xf>
    <xf numFmtId="180" fontId="1" fillId="16" borderId="16" xfId="0" applyNumberFormat="1" applyFont="1" applyFill="1" applyBorder="1" applyAlignment="1" applyProtection="1">
      <alignment horizontal="center" vertical="center"/>
      <protection/>
    </xf>
    <xf numFmtId="0" fontId="0" fillId="16" borderId="15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0" fontId="0" fillId="8" borderId="16" xfId="0" applyFill="1" applyBorder="1" applyAlignment="1" applyProtection="1">
      <alignment/>
      <protection/>
    </xf>
    <xf numFmtId="0" fontId="0" fillId="8" borderId="10" xfId="0" applyFill="1" applyBorder="1" applyAlignment="1" applyProtection="1">
      <alignment/>
      <protection/>
    </xf>
    <xf numFmtId="10" fontId="0" fillId="11" borderId="16" xfId="0" applyNumberFormat="1" applyFill="1" applyBorder="1" applyAlignment="1" applyProtection="1">
      <alignment horizontal="center" vertical="center"/>
      <protection locked="0"/>
    </xf>
    <xf numFmtId="10" fontId="0" fillId="11" borderId="10" xfId="0" applyNumberFormat="1" applyFill="1" applyBorder="1" applyAlignment="1" applyProtection="1">
      <alignment horizontal="center" vertical="center"/>
      <protection locked="0"/>
    </xf>
    <xf numFmtId="167" fontId="0" fillId="11" borderId="16" xfId="0" applyNumberFormat="1" applyFill="1" applyBorder="1" applyAlignment="1" applyProtection="1">
      <alignment horizontal="center" vertical="center"/>
      <protection locked="0"/>
    </xf>
    <xf numFmtId="3" fontId="0" fillId="11" borderId="19" xfId="0" applyNumberFormat="1" applyFill="1" applyBorder="1" applyAlignment="1" applyProtection="1">
      <alignment horizontal="center" vertical="center"/>
      <protection locked="0"/>
    </xf>
    <xf numFmtId="180" fontId="0" fillId="11" borderId="19" xfId="0" applyNumberFormat="1" applyFill="1" applyBorder="1" applyAlignment="1" applyProtection="1">
      <alignment horizontal="center" vertical="center"/>
      <protection locked="0"/>
    </xf>
    <xf numFmtId="3" fontId="0" fillId="11" borderId="11" xfId="0" applyNumberFormat="1" applyFill="1" applyBorder="1" applyAlignment="1" applyProtection="1">
      <alignment horizontal="center" vertical="center"/>
      <protection locked="0"/>
    </xf>
    <xf numFmtId="180" fontId="0" fillId="11" borderId="20" xfId="0" applyNumberFormat="1" applyFill="1" applyBorder="1" applyAlignment="1" applyProtection="1">
      <alignment horizontal="center" vertical="center"/>
      <protection locked="0"/>
    </xf>
    <xf numFmtId="3" fontId="0" fillId="11" borderId="20" xfId="0" applyNumberFormat="1" applyFill="1" applyBorder="1" applyAlignment="1" applyProtection="1">
      <alignment horizontal="center" vertical="center"/>
      <protection locked="0"/>
    </xf>
    <xf numFmtId="179" fontId="8" fillId="10" borderId="21" xfId="0" applyNumberFormat="1" applyFont="1" applyFill="1" applyBorder="1" applyAlignment="1" applyProtection="1">
      <alignment horizontal="center" vertical="center"/>
      <protection/>
    </xf>
    <xf numFmtId="179" fontId="8" fillId="10" borderId="21" xfId="50" applyNumberFormat="1" applyFont="1" applyFill="1" applyBorder="1" applyAlignment="1" applyProtection="1">
      <alignment/>
      <protection/>
    </xf>
    <xf numFmtId="1" fontId="0" fillId="16" borderId="22" xfId="0" applyNumberFormat="1" applyFont="1" applyFill="1" applyBorder="1" applyAlignment="1" applyProtection="1">
      <alignment horizontal="center" vertical="center" wrapText="1"/>
      <protection/>
    </xf>
    <xf numFmtId="0" fontId="0" fillId="16" borderId="23" xfId="0" applyFont="1" applyFill="1" applyBorder="1" applyAlignment="1" applyProtection="1">
      <alignment horizontal="center" vertical="center"/>
      <protection/>
    </xf>
    <xf numFmtId="2" fontId="0" fillId="20" borderId="16" xfId="0" applyNumberFormat="1" applyFill="1" applyBorder="1" applyAlignment="1" applyProtection="1">
      <alignment horizontal="center"/>
      <protection/>
    </xf>
    <xf numFmtId="2" fontId="1" fillId="20" borderId="16" xfId="0" applyNumberFormat="1" applyFont="1" applyFill="1" applyBorder="1" applyAlignment="1" applyProtection="1">
      <alignment horizontal="center"/>
      <protection/>
    </xf>
    <xf numFmtId="2" fontId="8" fillId="10" borderId="21" xfId="0" applyNumberFormat="1" applyFont="1" applyFill="1" applyBorder="1" applyAlignment="1" applyProtection="1">
      <alignment horizontal="center" vertical="center"/>
      <protection/>
    </xf>
    <xf numFmtId="167" fontId="8" fillId="0" borderId="21" xfId="0" applyNumberFormat="1" applyFont="1" applyFill="1" applyBorder="1" applyAlignment="1" applyProtection="1">
      <alignment horizontal="center" vertical="center"/>
      <protection/>
    </xf>
    <xf numFmtId="0" fontId="0" fillId="16" borderId="14" xfId="0" applyFill="1" applyBorder="1" applyAlignment="1" applyProtection="1">
      <alignment horizontal="center" vertical="center"/>
      <protection/>
    </xf>
    <xf numFmtId="3" fontId="1" fillId="20" borderId="24" xfId="0" applyNumberFormat="1" applyFont="1" applyFill="1" applyBorder="1" applyAlignment="1" applyProtection="1">
      <alignment horizontal="center" vertical="center"/>
      <protection/>
    </xf>
    <xf numFmtId="0" fontId="0" fillId="16" borderId="25" xfId="0" applyFill="1" applyBorder="1" applyAlignment="1" applyProtection="1">
      <alignment horizontal="center" vertical="center"/>
      <protection/>
    </xf>
    <xf numFmtId="0" fontId="1" fillId="16" borderId="26" xfId="0" applyFont="1" applyFill="1" applyBorder="1" applyAlignment="1" applyProtection="1">
      <alignment horizontal="center" vertical="center"/>
      <protection/>
    </xf>
    <xf numFmtId="3" fontId="1" fillId="16" borderId="20" xfId="0" applyNumberFormat="1" applyFont="1" applyFill="1" applyBorder="1" applyAlignment="1" applyProtection="1">
      <alignment horizontal="center" vertical="center"/>
      <protection/>
    </xf>
    <xf numFmtId="3" fontId="1" fillId="20" borderId="27" xfId="0" applyNumberFormat="1" applyFont="1" applyFill="1" applyBorder="1" applyAlignment="1" applyProtection="1">
      <alignment horizontal="center" vertical="center"/>
      <protection/>
    </xf>
    <xf numFmtId="3" fontId="1" fillId="20" borderId="18" xfId="0" applyNumberFormat="1" applyFont="1" applyFill="1" applyBorder="1" applyAlignment="1" applyProtection="1">
      <alignment horizontal="center" vertical="center"/>
      <protection/>
    </xf>
    <xf numFmtId="0" fontId="1" fillId="17" borderId="28" xfId="0" applyFont="1" applyFill="1" applyBorder="1" applyAlignment="1" applyProtection="1">
      <alignment horizontal="center" vertical="center"/>
      <protection/>
    </xf>
    <xf numFmtId="175" fontId="1" fillId="10" borderId="28" xfId="0" applyNumberFormat="1" applyFont="1" applyFill="1" applyBorder="1" applyAlignment="1" applyProtection="1">
      <alignment horizontal="center" vertical="center"/>
      <protection/>
    </xf>
    <xf numFmtId="0" fontId="0" fillId="16" borderId="29" xfId="0" applyFont="1" applyFill="1" applyBorder="1" applyAlignment="1" applyProtection="1">
      <alignment horizontal="center" vertical="center"/>
      <protection/>
    </xf>
    <xf numFmtId="0" fontId="0" fillId="16" borderId="19" xfId="0" applyFill="1" applyBorder="1" applyAlignment="1" applyProtection="1">
      <alignment horizontal="center" vertical="center" wrapText="1"/>
      <protection/>
    </xf>
    <xf numFmtId="0" fontId="0" fillId="16" borderId="19" xfId="0" applyFont="1" applyFill="1" applyBorder="1" applyAlignment="1" applyProtection="1">
      <alignment horizontal="center" vertical="center" wrapText="1"/>
      <protection/>
    </xf>
    <xf numFmtId="0" fontId="0" fillId="16" borderId="17" xfId="0" applyFont="1" applyFill="1" applyBorder="1" applyAlignment="1" applyProtection="1">
      <alignment horizontal="center" vertical="center" wrapText="1"/>
      <protection/>
    </xf>
    <xf numFmtId="0" fontId="0" fillId="16" borderId="30" xfId="0" applyFont="1" applyFill="1" applyBorder="1" applyAlignment="1" applyProtection="1">
      <alignment horizontal="center" vertical="center"/>
      <protection/>
    </xf>
    <xf numFmtId="0" fontId="0" fillId="11" borderId="22" xfId="0" applyFill="1" applyBorder="1" applyAlignment="1" applyProtection="1">
      <alignment horizontal="center" vertical="center"/>
      <protection locked="0"/>
    </xf>
    <xf numFmtId="0" fontId="0" fillId="11" borderId="23" xfId="0" applyFill="1" applyBorder="1" applyAlignment="1" applyProtection="1">
      <alignment horizontal="center" vertical="center"/>
      <protection locked="0"/>
    </xf>
    <xf numFmtId="0" fontId="12" fillId="2" borderId="31" xfId="0" applyFont="1" applyFill="1" applyBorder="1" applyAlignment="1" applyProtection="1">
      <alignment horizontal="center" vertical="center"/>
      <protection/>
    </xf>
    <xf numFmtId="0" fontId="12" fillId="2" borderId="32" xfId="0" applyFont="1" applyFill="1" applyBorder="1" applyAlignment="1" applyProtection="1">
      <alignment horizontal="center" vertical="center"/>
      <protection/>
    </xf>
    <xf numFmtId="175" fontId="0" fillId="10" borderId="10" xfId="0" applyNumberFormat="1" applyFont="1" applyFill="1" applyBorder="1" applyAlignment="1" applyProtection="1">
      <alignment horizontal="center" vertical="center"/>
      <protection/>
    </xf>
    <xf numFmtId="175" fontId="0" fillId="10" borderId="11" xfId="0" applyNumberFormat="1" applyFont="1" applyFill="1" applyBorder="1" applyAlignment="1" applyProtection="1">
      <alignment horizontal="center" vertical="center"/>
      <protection/>
    </xf>
    <xf numFmtId="3" fontId="0" fillId="6" borderId="19" xfId="0" applyNumberFormat="1" applyFill="1" applyBorder="1" applyAlignment="1" applyProtection="1">
      <alignment horizontal="center" vertical="center"/>
      <protection/>
    </xf>
    <xf numFmtId="3" fontId="0" fillId="6" borderId="20" xfId="0" applyNumberFormat="1" applyFill="1" applyBorder="1" applyAlignment="1" applyProtection="1">
      <alignment horizontal="center" vertical="center"/>
      <protection/>
    </xf>
    <xf numFmtId="167" fontId="1" fillId="6" borderId="16" xfId="0" applyNumberFormat="1" applyFont="1" applyFill="1" applyBorder="1" applyAlignment="1" applyProtection="1">
      <alignment horizontal="center" vertical="center"/>
      <protection/>
    </xf>
    <xf numFmtId="167" fontId="1" fillId="6" borderId="20" xfId="0" applyNumberFormat="1" applyFont="1" applyFill="1" applyBorder="1" applyAlignment="1" applyProtection="1">
      <alignment horizontal="center" vertical="center"/>
      <protection/>
    </xf>
    <xf numFmtId="167" fontId="1" fillId="6" borderId="10" xfId="0" applyNumberFormat="1" applyFont="1" applyFill="1" applyBorder="1" applyAlignment="1" applyProtection="1">
      <alignment horizontal="center" vertical="center"/>
      <protection/>
    </xf>
    <xf numFmtId="167" fontId="0" fillId="6" borderId="16" xfId="0" applyNumberFormat="1" applyFill="1" applyBorder="1" applyAlignment="1" applyProtection="1">
      <alignment/>
      <protection/>
    </xf>
    <xf numFmtId="167" fontId="0" fillId="6" borderId="10" xfId="0" applyNumberFormat="1" applyFill="1" applyBorder="1" applyAlignment="1" applyProtection="1">
      <alignment/>
      <protection/>
    </xf>
    <xf numFmtId="0" fontId="9" fillId="25" borderId="0" xfId="0" applyFont="1" applyFill="1" applyBorder="1" applyAlignment="1" applyProtection="1">
      <alignment horizontal="center"/>
      <protection/>
    </xf>
    <xf numFmtId="0" fontId="0" fillId="25" borderId="0" xfId="0" applyFill="1" applyAlignment="1" applyProtection="1">
      <alignment/>
      <protection locked="0"/>
    </xf>
    <xf numFmtId="0" fontId="9" fillId="25" borderId="0" xfId="0" applyFont="1" applyFill="1" applyBorder="1" applyAlignment="1" applyProtection="1">
      <alignment/>
      <protection/>
    </xf>
    <xf numFmtId="1" fontId="0" fillId="16" borderId="0" xfId="0" applyNumberFormat="1" applyFill="1" applyBorder="1" applyAlignment="1" applyProtection="1">
      <alignment horizontal="center" vertical="center" wrapText="1"/>
      <protection/>
    </xf>
    <xf numFmtId="0" fontId="9" fillId="25" borderId="0" xfId="0" applyFont="1" applyFill="1" applyBorder="1" applyAlignment="1" applyProtection="1">
      <alignment horizontal="left"/>
      <protection/>
    </xf>
    <xf numFmtId="3" fontId="0" fillId="6" borderId="0" xfId="0" applyNumberFormat="1" applyFill="1" applyBorder="1" applyAlignment="1" applyProtection="1">
      <alignment horizontal="center" vertical="center"/>
      <protection/>
    </xf>
    <xf numFmtId="3" fontId="0" fillId="20" borderId="0" xfId="0" applyNumberFormat="1" applyFill="1" applyBorder="1" applyAlignment="1" applyProtection="1">
      <alignment horizontal="center" vertical="center"/>
      <protection/>
    </xf>
    <xf numFmtId="1" fontId="0" fillId="25" borderId="0" xfId="0" applyNumberFormat="1" applyFill="1" applyBorder="1" applyAlignment="1" applyProtection="1">
      <alignment horizontal="center" vertical="center" wrapText="1"/>
      <protection/>
    </xf>
    <xf numFmtId="3" fontId="0" fillId="25" borderId="0" xfId="0" applyNumberFormat="1" applyFill="1" applyBorder="1" applyAlignment="1" applyProtection="1">
      <alignment horizontal="center" vertical="center"/>
      <protection/>
    </xf>
    <xf numFmtId="0" fontId="14" fillId="25" borderId="0" xfId="0" applyFont="1" applyFill="1" applyBorder="1" applyAlignment="1" applyProtection="1">
      <alignment horizontal="left"/>
      <protection/>
    </xf>
    <xf numFmtId="0" fontId="14" fillId="25" borderId="0" xfId="0" applyFont="1" applyFill="1" applyBorder="1" applyAlignment="1" applyProtection="1">
      <alignment/>
      <protection/>
    </xf>
    <xf numFmtId="167" fontId="1" fillId="2" borderId="10" xfId="0" applyNumberFormat="1" applyFont="1" applyFill="1" applyBorder="1" applyAlignment="1" applyProtection="1">
      <alignment horizontal="center" vertical="center"/>
      <protection/>
    </xf>
    <xf numFmtId="0" fontId="9" fillId="10" borderId="33" xfId="0" applyFont="1" applyFill="1" applyBorder="1" applyAlignment="1" applyProtection="1">
      <alignment horizontal="center" vertical="center"/>
      <protection/>
    </xf>
    <xf numFmtId="3" fontId="0" fillId="11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8" xfId="0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9" xfId="0" applyFont="1" applyFill="1" applyBorder="1" applyAlignment="1" applyProtection="1">
      <alignment vertical="top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17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4" fontId="0" fillId="0" borderId="10" xfId="0" applyNumberFormat="1" applyFont="1" applyFill="1" applyBorder="1" applyAlignment="1" applyProtection="1">
      <alignment vertical="top" wrapText="1"/>
      <protection/>
    </xf>
    <xf numFmtId="178" fontId="0" fillId="0" borderId="10" xfId="0" applyNumberFormat="1" applyFont="1" applyFill="1" applyBorder="1" applyAlignment="1" applyProtection="1">
      <alignment vertical="top" wrapText="1"/>
      <protection/>
    </xf>
    <xf numFmtId="176" fontId="0" fillId="0" borderId="10" xfId="45" applyNumberFormat="1" applyFont="1" applyFill="1" applyBorder="1" applyAlignment="1" applyProtection="1">
      <alignment vertical="top" wrapText="1"/>
      <protection/>
    </xf>
    <xf numFmtId="3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9" fontId="0" fillId="0" borderId="18" xfId="50" applyFont="1" applyFill="1" applyBorder="1" applyAlignment="1" applyProtection="1">
      <alignment vertical="top" wrapText="1"/>
      <protection/>
    </xf>
    <xf numFmtId="176" fontId="0" fillId="0" borderId="0" xfId="45" applyNumberFormat="1" applyFont="1" applyFill="1" applyBorder="1" applyAlignment="1" applyProtection="1">
      <alignment vertical="top" wrapText="1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 vertical="top" wrapText="1"/>
      <protection/>
    </xf>
    <xf numFmtId="3" fontId="1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176" fontId="1" fillId="0" borderId="11" xfId="0" applyNumberFormat="1" applyFont="1" applyFill="1" applyBorder="1" applyAlignment="1" applyProtection="1">
      <alignment vertical="top" wrapText="1"/>
      <protection/>
    </xf>
    <xf numFmtId="176" fontId="0" fillId="0" borderId="11" xfId="0" applyNumberFormat="1" applyFont="1" applyFill="1" applyBorder="1" applyAlignment="1" applyProtection="1">
      <alignment/>
      <protection/>
    </xf>
    <xf numFmtId="9" fontId="1" fillId="0" borderId="14" xfId="50" applyFont="1" applyFill="1" applyBorder="1" applyAlignment="1" applyProtection="1">
      <alignment vertical="top" wrapText="1"/>
      <protection/>
    </xf>
    <xf numFmtId="176" fontId="1" fillId="0" borderId="0" xfId="0" applyNumberFormat="1" applyFont="1" applyFill="1" applyBorder="1" applyAlignment="1" applyProtection="1">
      <alignment vertical="top" wrapText="1"/>
      <protection/>
    </xf>
    <xf numFmtId="176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vertical="top" wrapText="1"/>
      <protection/>
    </xf>
    <xf numFmtId="0" fontId="5" fillId="0" borderId="19" xfId="0" applyFont="1" applyFill="1" applyBorder="1" applyAlignment="1" applyProtection="1">
      <alignment vertical="top" wrapText="1"/>
      <protection/>
    </xf>
    <xf numFmtId="9" fontId="0" fillId="0" borderId="10" xfId="50" applyFont="1" applyFill="1" applyBorder="1" applyAlignment="1" applyProtection="1">
      <alignment vertical="top" wrapText="1"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11" xfId="50" applyNumberFormat="1" applyFont="1" applyFill="1" applyBorder="1" applyAlignment="1" applyProtection="1">
      <alignment vertical="top" wrapText="1"/>
      <protection/>
    </xf>
    <xf numFmtId="176" fontId="1" fillId="0" borderId="11" xfId="0" applyNumberFormat="1" applyFont="1" applyFill="1" applyBorder="1" applyAlignment="1" applyProtection="1">
      <alignment/>
      <protection/>
    </xf>
    <xf numFmtId="176" fontId="1" fillId="0" borderId="14" xfId="0" applyNumberFormat="1" applyFont="1" applyFill="1" applyBorder="1" applyAlignment="1" applyProtection="1">
      <alignment/>
      <protection/>
    </xf>
    <xf numFmtId="0" fontId="0" fillId="16" borderId="10" xfId="0" applyFont="1" applyFill="1" applyBorder="1" applyAlignment="1" applyProtection="1">
      <alignment horizontal="center" vertical="center" wrapText="1"/>
      <protection/>
    </xf>
    <xf numFmtId="0" fontId="0" fillId="16" borderId="18" xfId="0" applyFont="1" applyFill="1" applyBorder="1" applyAlignment="1" applyProtection="1">
      <alignment horizontal="center" vertical="center" wrapText="1"/>
      <protection/>
    </xf>
    <xf numFmtId="177" fontId="0" fillId="10" borderId="10" xfId="0" applyNumberFormat="1" applyFill="1" applyBorder="1" applyAlignment="1" applyProtection="1">
      <alignment horizontal="center" vertical="center"/>
      <protection/>
    </xf>
    <xf numFmtId="0" fontId="0" fillId="8" borderId="18" xfId="0" applyFill="1" applyBorder="1" applyAlignment="1" applyProtection="1">
      <alignment horizontal="center" vertical="center"/>
      <protection/>
    </xf>
    <xf numFmtId="0" fontId="0" fillId="8" borderId="14" xfId="0" applyFill="1" applyBorder="1" applyAlignment="1" applyProtection="1">
      <alignment horizontal="center" vertical="center"/>
      <protection/>
    </xf>
    <xf numFmtId="177" fontId="9" fillId="10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7" fontId="0" fillId="10" borderId="11" xfId="0" applyNumberFormat="1" applyFill="1" applyBorder="1" applyAlignment="1" applyProtection="1">
      <alignment horizontal="center" vertical="center"/>
      <protection/>
    </xf>
    <xf numFmtId="177" fontId="8" fillId="10" borderId="21" xfId="0" applyNumberFormat="1" applyFont="1" applyFill="1" applyBorder="1" applyAlignment="1" applyProtection="1">
      <alignment/>
      <protection/>
    </xf>
    <xf numFmtId="0" fontId="0" fillId="16" borderId="10" xfId="0" applyFont="1" applyFill="1" applyBorder="1" applyAlignment="1" applyProtection="1">
      <alignment horizontal="left" vertical="center" wrapText="1"/>
      <protection/>
    </xf>
    <xf numFmtId="177" fontId="0" fillId="6" borderId="10" xfId="0" applyNumberFormat="1" applyFill="1" applyBorder="1" applyAlignment="1" applyProtection="1">
      <alignment horizontal="center" vertical="center"/>
      <protection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177" fontId="9" fillId="1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177" fontId="9" fillId="10" borderId="33" xfId="0" applyNumberFormat="1" applyFont="1" applyFill="1" applyBorder="1" applyAlignment="1" applyProtection="1">
      <alignment horizontal="center" vertical="center"/>
      <protection/>
    </xf>
    <xf numFmtId="177" fontId="8" fillId="10" borderId="21" xfId="0" applyNumberFormat="1" applyFont="1" applyFill="1" applyBorder="1" applyAlignment="1" applyProtection="1">
      <alignment horizontal="center" vertical="center"/>
      <protection/>
    </xf>
    <xf numFmtId="0" fontId="0" fillId="25" borderId="0" xfId="0" applyFill="1" applyAlignment="1" applyProtection="1">
      <alignment/>
      <protection/>
    </xf>
    <xf numFmtId="0" fontId="4" fillId="0" borderId="29" xfId="0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16" borderId="13" xfId="0" applyFont="1" applyFill="1" applyBorder="1" applyAlignment="1" applyProtection="1">
      <alignment vertical="top" wrapText="1"/>
      <protection/>
    </xf>
    <xf numFmtId="4" fontId="0" fillId="16" borderId="10" xfId="0" applyNumberFormat="1" applyFont="1" applyFill="1" applyBorder="1" applyAlignment="1" applyProtection="1">
      <alignment vertical="top" wrapText="1"/>
      <protection/>
    </xf>
    <xf numFmtId="178" fontId="0" fillId="16" borderId="10" xfId="0" applyNumberFormat="1" applyFont="1" applyFill="1" applyBorder="1" applyAlignment="1" applyProtection="1">
      <alignment vertical="top" wrapText="1"/>
      <protection/>
    </xf>
    <xf numFmtId="9" fontId="0" fillId="16" borderId="10" xfId="50" applyFont="1" applyFill="1" applyBorder="1" applyAlignment="1" applyProtection="1">
      <alignment vertical="top" wrapText="1"/>
      <protection/>
    </xf>
    <xf numFmtId="9" fontId="0" fillId="6" borderId="10" xfId="50" applyFont="1" applyFill="1" applyBorder="1" applyAlignment="1" applyProtection="1">
      <alignment vertical="top" wrapText="1"/>
      <protection/>
    </xf>
    <xf numFmtId="176" fontId="0" fillId="6" borderId="10" xfId="0" applyNumberFormat="1" applyFont="1" applyFill="1" applyBorder="1" applyAlignment="1" applyProtection="1">
      <alignment vertical="top" wrapText="1"/>
      <protection/>
    </xf>
    <xf numFmtId="176" fontId="0" fillId="16" borderId="10" xfId="45" applyNumberFormat="1" applyFont="1" applyFill="1" applyBorder="1" applyAlignment="1" applyProtection="1">
      <alignment vertical="top" wrapText="1"/>
      <protection/>
    </xf>
    <xf numFmtId="3" fontId="0" fillId="16" borderId="10" xfId="0" applyNumberFormat="1" applyFont="1" applyFill="1" applyBorder="1" applyAlignment="1" applyProtection="1">
      <alignment/>
      <protection/>
    </xf>
    <xf numFmtId="176" fontId="0" fillId="6" borderId="10" xfId="45" applyNumberFormat="1" applyFont="1" applyFill="1" applyBorder="1" applyAlignment="1" applyProtection="1">
      <alignment vertical="top" wrapText="1"/>
      <protection/>
    </xf>
    <xf numFmtId="176" fontId="0" fillId="16" borderId="10" xfId="0" applyNumberFormat="1" applyFont="1" applyFill="1" applyBorder="1" applyAlignment="1" applyProtection="1">
      <alignment/>
      <protection/>
    </xf>
    <xf numFmtId="9" fontId="0" fillId="16" borderId="10" xfId="50" applyFont="1" applyFill="1" applyBorder="1" applyAlignment="1" applyProtection="1">
      <alignment/>
      <protection/>
    </xf>
    <xf numFmtId="10" fontId="0" fillId="10" borderId="10" xfId="50" applyNumberFormat="1" applyFont="1" applyFill="1" applyBorder="1" applyAlignment="1" applyProtection="1">
      <alignment/>
      <protection/>
    </xf>
    <xf numFmtId="0" fontId="0" fillId="8" borderId="18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 vertical="top" wrapText="1"/>
      <protection/>
    </xf>
    <xf numFmtId="3" fontId="1" fillId="16" borderId="11" xfId="0" applyNumberFormat="1" applyFont="1" applyFill="1" applyBorder="1" applyAlignment="1" applyProtection="1">
      <alignment vertical="top" wrapText="1"/>
      <protection/>
    </xf>
    <xf numFmtId="176" fontId="1" fillId="16" borderId="11" xfId="0" applyNumberFormat="1" applyFont="1" applyFill="1" applyBorder="1" applyAlignment="1" applyProtection="1">
      <alignment vertical="top" wrapText="1"/>
      <protection/>
    </xf>
    <xf numFmtId="176" fontId="0" fillId="0" borderId="11" xfId="50" applyNumberFormat="1" applyFont="1" applyBorder="1" applyAlignment="1" applyProtection="1">
      <alignment vertical="top" wrapText="1"/>
      <protection/>
    </xf>
    <xf numFmtId="176" fontId="1" fillId="6" borderId="11" xfId="0" applyNumberFormat="1" applyFont="1" applyFill="1" applyBorder="1" applyAlignment="1" applyProtection="1">
      <alignment vertical="top" wrapText="1"/>
      <protection/>
    </xf>
    <xf numFmtId="9" fontId="0" fillId="6" borderId="11" xfId="50" applyFont="1" applyFill="1" applyBorder="1" applyAlignment="1" applyProtection="1">
      <alignment vertical="top" wrapText="1"/>
      <protection/>
    </xf>
    <xf numFmtId="176" fontId="0" fillId="0" borderId="11" xfId="0" applyNumberFormat="1" applyFont="1" applyBorder="1" applyAlignment="1" applyProtection="1">
      <alignment/>
      <protection/>
    </xf>
    <xf numFmtId="176" fontId="1" fillId="16" borderId="11" xfId="0" applyNumberFormat="1" applyFont="1" applyFill="1" applyBorder="1" applyAlignment="1" applyProtection="1">
      <alignment/>
      <protection/>
    </xf>
    <xf numFmtId="9" fontId="1" fillId="16" borderId="11" xfId="50" applyFont="1" applyFill="1" applyBorder="1" applyAlignment="1" applyProtection="1">
      <alignment/>
      <protection/>
    </xf>
    <xf numFmtId="10" fontId="1" fillId="10" borderId="11" xfId="50" applyNumberFormat="1" applyFont="1" applyFill="1" applyBorder="1" applyAlignment="1" applyProtection="1">
      <alignment/>
      <protection/>
    </xf>
    <xf numFmtId="0" fontId="0" fillId="8" borderId="14" xfId="0" applyFont="1" applyFill="1" applyBorder="1" applyAlignment="1" applyProtection="1">
      <alignment/>
      <protection/>
    </xf>
    <xf numFmtId="10" fontId="8" fillId="10" borderId="34" xfId="0" applyNumberFormat="1" applyFont="1" applyFill="1" applyBorder="1" applyAlignment="1" applyProtection="1">
      <alignment/>
      <protection/>
    </xf>
    <xf numFmtId="176" fontId="0" fillId="24" borderId="0" xfId="45" applyNumberFormat="1" applyFont="1" applyFill="1" applyBorder="1" applyAlignment="1" applyProtection="1">
      <alignment vertical="top" wrapText="1"/>
      <protection/>
    </xf>
    <xf numFmtId="176" fontId="0" fillId="25" borderId="0" xfId="45" applyNumberFormat="1" applyFont="1" applyFill="1" applyBorder="1" applyAlignment="1" applyProtection="1">
      <alignment vertical="top" wrapText="1"/>
      <protection/>
    </xf>
    <xf numFmtId="43" fontId="0" fillId="0" borderId="0" xfId="0" applyNumberFormat="1" applyFont="1" applyAlignment="1" applyProtection="1">
      <alignment horizontal="right"/>
      <protection/>
    </xf>
    <xf numFmtId="43" fontId="0" fillId="0" borderId="0" xfId="0" applyNumberFormat="1" applyFont="1" applyAlignment="1" applyProtection="1">
      <alignment/>
      <protection/>
    </xf>
    <xf numFmtId="43" fontId="0" fillId="25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9" fontId="0" fillId="0" borderId="0" xfId="50" applyFont="1" applyFill="1" applyBorder="1" applyAlignment="1" applyProtection="1">
      <alignment vertical="top" wrapText="1"/>
      <protection/>
    </xf>
    <xf numFmtId="176" fontId="0" fillId="0" borderId="0" xfId="0" applyNumberFormat="1" applyFont="1" applyFill="1" applyBorder="1" applyAlignment="1" applyProtection="1">
      <alignment vertical="top" wrapText="1"/>
      <protection/>
    </xf>
    <xf numFmtId="176" fontId="0" fillId="0" borderId="0" xfId="50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9" fontId="0" fillId="11" borderId="10" xfId="50" applyFont="1" applyFill="1" applyBorder="1" applyAlignment="1" applyProtection="1">
      <alignment vertical="top" wrapText="1"/>
      <protection locked="0"/>
    </xf>
    <xf numFmtId="176" fontId="0" fillId="0" borderId="0" xfId="0" applyNumberFormat="1" applyFont="1" applyFill="1" applyAlignment="1" applyProtection="1">
      <alignment/>
      <protection/>
    </xf>
    <xf numFmtId="183" fontId="0" fillId="0" borderId="0" xfId="0" applyNumberFormat="1" applyFont="1" applyAlignment="1">
      <alignment/>
    </xf>
    <xf numFmtId="0" fontId="0" fillId="11" borderId="13" xfId="0" applyFont="1" applyFill="1" applyBorder="1" applyAlignment="1" applyProtection="1">
      <alignment horizontal="center" vertical="center" wrapText="1"/>
      <protection locked="0"/>
    </xf>
    <xf numFmtId="0" fontId="0" fillId="11" borderId="30" xfId="0" applyFont="1" applyFill="1" applyBorder="1" applyAlignment="1" applyProtection="1">
      <alignment horizontal="center" vertical="center" wrapText="1"/>
      <protection locked="0"/>
    </xf>
    <xf numFmtId="167" fontId="0" fillId="6" borderId="35" xfId="0" applyNumberFormat="1" applyFill="1" applyBorder="1" applyAlignment="1" applyProtection="1">
      <alignment horizontal="center" vertical="center"/>
      <protection/>
    </xf>
    <xf numFmtId="167" fontId="0" fillId="6" borderId="20" xfId="0" applyNumberFormat="1" applyFill="1" applyBorder="1" applyAlignment="1" applyProtection="1">
      <alignment horizontal="center" vertical="center"/>
      <protection/>
    </xf>
    <xf numFmtId="0" fontId="1" fillId="8" borderId="3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9" fillId="16" borderId="36" xfId="0" applyFont="1" applyFill="1" applyBorder="1" applyAlignment="1" applyProtection="1">
      <alignment horizontal="center"/>
      <protection/>
    </xf>
    <xf numFmtId="0" fontId="9" fillId="16" borderId="37" xfId="0" applyFont="1" applyFill="1" applyBorder="1" applyAlignment="1" applyProtection="1">
      <alignment horizontal="center"/>
      <protection/>
    </xf>
    <xf numFmtId="0" fontId="9" fillId="16" borderId="34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3" fontId="0" fillId="16" borderId="35" xfId="0" applyNumberFormat="1" applyFill="1" applyBorder="1" applyAlignment="1" applyProtection="1">
      <alignment horizontal="center" vertical="center"/>
      <protection/>
    </xf>
    <xf numFmtId="3" fontId="0" fillId="16" borderId="20" xfId="0" applyNumberFormat="1" applyFill="1" applyBorder="1" applyAlignment="1" applyProtection="1">
      <alignment horizontal="center" vertical="center"/>
      <protection/>
    </xf>
    <xf numFmtId="0" fontId="0" fillId="16" borderId="38" xfId="0" applyFill="1" applyBorder="1" applyAlignment="1" applyProtection="1">
      <alignment horizontal="center" vertical="center"/>
      <protection/>
    </xf>
    <xf numFmtId="0" fontId="0" fillId="16" borderId="26" xfId="0" applyFill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9" fillId="10" borderId="36" xfId="0" applyFont="1" applyFill="1" applyBorder="1" applyAlignment="1" applyProtection="1">
      <alignment horizontal="center"/>
      <protection/>
    </xf>
    <xf numFmtId="0" fontId="9" fillId="10" borderId="37" xfId="0" applyFont="1" applyFill="1" applyBorder="1" applyAlignment="1" applyProtection="1">
      <alignment horizontal="center"/>
      <protection/>
    </xf>
    <xf numFmtId="0" fontId="9" fillId="10" borderId="39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37" xfId="0" applyFont="1" applyFill="1" applyBorder="1" applyAlignment="1" applyProtection="1">
      <alignment horizontal="center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1" fillId="8" borderId="43" xfId="0" applyFont="1" applyFill="1" applyBorder="1" applyAlignment="1" applyProtection="1">
      <alignment horizontal="center" vertical="center"/>
      <protection/>
    </xf>
    <xf numFmtId="0" fontId="1" fillId="8" borderId="44" xfId="0" applyFont="1" applyFill="1" applyBorder="1" applyAlignment="1" applyProtection="1">
      <alignment horizontal="center" vertical="center"/>
      <protection/>
    </xf>
    <xf numFmtId="0" fontId="1" fillId="8" borderId="32" xfId="0" applyFont="1" applyFill="1" applyBorder="1" applyAlignment="1" applyProtection="1">
      <alignment horizontal="center" vertical="center"/>
      <protection/>
    </xf>
    <xf numFmtId="0" fontId="1" fillId="17" borderId="40" xfId="0" applyFont="1" applyFill="1" applyBorder="1" applyAlignment="1" applyProtection="1">
      <alignment horizontal="center"/>
      <protection/>
    </xf>
    <xf numFmtId="0" fontId="1" fillId="17" borderId="41" xfId="0" applyFont="1" applyFill="1" applyBorder="1" applyAlignment="1" applyProtection="1">
      <alignment horizontal="center"/>
      <protection/>
    </xf>
    <xf numFmtId="0" fontId="1" fillId="17" borderId="42" xfId="0" applyFont="1" applyFill="1" applyBorder="1" applyAlignment="1" applyProtection="1">
      <alignment horizontal="center"/>
      <protection/>
    </xf>
    <xf numFmtId="0" fontId="1" fillId="8" borderId="43" xfId="0" applyFont="1" applyFill="1" applyBorder="1" applyAlignment="1" applyProtection="1">
      <alignment horizontal="center"/>
      <protection/>
    </xf>
    <xf numFmtId="0" fontId="1" fillId="8" borderId="44" xfId="0" applyFont="1" applyFill="1" applyBorder="1" applyAlignment="1" applyProtection="1">
      <alignment horizontal="center"/>
      <protection/>
    </xf>
    <xf numFmtId="0" fontId="0" fillId="16" borderId="38" xfId="0" applyFont="1" applyFill="1" applyBorder="1" applyAlignment="1" applyProtection="1">
      <alignment horizontal="center" vertical="center"/>
      <protection/>
    </xf>
    <xf numFmtId="0" fontId="0" fillId="16" borderId="26" xfId="0" applyFont="1" applyFill="1" applyBorder="1" applyAlignment="1" applyProtection="1">
      <alignment horizontal="center" vertical="center"/>
      <protection/>
    </xf>
    <xf numFmtId="0" fontId="1" fillId="8" borderId="45" xfId="0" applyFont="1" applyFill="1" applyBorder="1" applyAlignment="1" applyProtection="1">
      <alignment horizontal="center" vertical="center"/>
      <protection/>
    </xf>
    <xf numFmtId="0" fontId="1" fillId="8" borderId="46" xfId="0" applyFont="1" applyFill="1" applyBorder="1" applyAlignment="1" applyProtection="1">
      <alignment horizontal="center" vertical="center"/>
      <protection/>
    </xf>
    <xf numFmtId="0" fontId="0" fillId="16" borderId="13" xfId="0" applyFill="1" applyBorder="1" applyAlignment="1" applyProtection="1">
      <alignment horizontal="center" vertical="center"/>
      <protection/>
    </xf>
    <xf numFmtId="0" fontId="0" fillId="16" borderId="30" xfId="0" applyFill="1" applyBorder="1" applyAlignment="1" applyProtection="1">
      <alignment horizontal="center" vertical="center"/>
      <protection/>
    </xf>
    <xf numFmtId="3" fontId="0" fillId="20" borderId="47" xfId="0" applyNumberFormat="1" applyFill="1" applyBorder="1" applyAlignment="1" applyProtection="1">
      <alignment horizontal="center" vertical="center"/>
      <protection/>
    </xf>
    <xf numFmtId="3" fontId="0" fillId="20" borderId="27" xfId="0" applyNumberFormat="1" applyFill="1" applyBorder="1" applyAlignment="1" applyProtection="1">
      <alignment horizontal="center" vertical="center"/>
      <protection/>
    </xf>
    <xf numFmtId="1" fontId="0" fillId="16" borderId="10" xfId="0" applyNumberFormat="1" applyFont="1" applyFill="1" applyBorder="1" applyAlignment="1" applyProtection="1">
      <alignment horizontal="center" vertical="center" wrapText="1"/>
      <protection/>
    </xf>
    <xf numFmtId="1" fontId="0" fillId="16" borderId="18" xfId="0" applyNumberFormat="1" applyFont="1" applyFill="1" applyBorder="1" applyAlignment="1" applyProtection="1">
      <alignment horizontal="center" vertical="center" wrapText="1"/>
      <protection/>
    </xf>
    <xf numFmtId="3" fontId="1" fillId="16" borderId="24" xfId="0" applyNumberFormat="1" applyFont="1" applyFill="1" applyBorder="1" applyAlignment="1" applyProtection="1">
      <alignment horizontal="center" vertical="center"/>
      <protection/>
    </xf>
    <xf numFmtId="3" fontId="1" fillId="16" borderId="18" xfId="0" applyNumberFormat="1" applyFont="1" applyFill="1" applyBorder="1" applyAlignment="1" applyProtection="1">
      <alignment horizontal="center" vertical="center"/>
      <protection/>
    </xf>
    <xf numFmtId="3" fontId="1" fillId="16" borderId="14" xfId="0" applyNumberFormat="1" applyFont="1" applyFill="1" applyBorder="1" applyAlignment="1" applyProtection="1">
      <alignment horizontal="center" vertical="center"/>
      <protection/>
    </xf>
    <xf numFmtId="9" fontId="1" fillId="16" borderId="48" xfId="0" applyNumberFormat="1" applyFont="1" applyFill="1" applyBorder="1" applyAlignment="1" applyProtection="1">
      <alignment horizontal="center" vertical="center"/>
      <protection/>
    </xf>
    <xf numFmtId="9" fontId="1" fillId="16" borderId="49" xfId="0" applyNumberFormat="1" applyFont="1" applyFill="1" applyBorder="1" applyAlignment="1" applyProtection="1">
      <alignment horizontal="center" vertical="center"/>
      <protection/>
    </xf>
    <xf numFmtId="9" fontId="1" fillId="16" borderId="10" xfId="0" applyNumberFormat="1" applyFont="1" applyFill="1" applyBorder="1" applyAlignment="1" applyProtection="1">
      <alignment horizontal="center" vertical="center"/>
      <protection/>
    </xf>
    <xf numFmtId="9" fontId="1" fillId="16" borderId="11" xfId="0" applyNumberFormat="1" applyFont="1" applyFill="1" applyBorder="1" applyAlignment="1" applyProtection="1">
      <alignment horizontal="center" vertical="center"/>
      <protection/>
    </xf>
    <xf numFmtId="9" fontId="1" fillId="16" borderId="16" xfId="0" applyNumberFormat="1" applyFont="1" applyFill="1" applyBorder="1" applyAlignment="1" applyProtection="1">
      <alignment horizontal="center" vertical="center"/>
      <protection/>
    </xf>
    <xf numFmtId="0" fontId="0" fillId="16" borderId="50" xfId="0" applyFill="1" applyBorder="1" applyAlignment="1" applyProtection="1">
      <alignment horizontal="center" vertical="center"/>
      <protection/>
    </xf>
    <xf numFmtId="9" fontId="1" fillId="16" borderId="51" xfId="0" applyNumberFormat="1" applyFont="1" applyFill="1" applyBorder="1" applyAlignment="1" applyProtection="1">
      <alignment horizontal="center" vertical="center"/>
      <protection/>
    </xf>
    <xf numFmtId="9" fontId="1" fillId="16" borderId="52" xfId="0" applyNumberFormat="1" applyFont="1" applyFill="1" applyBorder="1" applyAlignment="1" applyProtection="1">
      <alignment horizontal="center" vertical="center"/>
      <protection/>
    </xf>
    <xf numFmtId="3" fontId="1" fillId="16" borderId="47" xfId="0" applyNumberFormat="1" applyFont="1" applyFill="1" applyBorder="1" applyAlignment="1" applyProtection="1">
      <alignment horizontal="center" vertical="center"/>
      <protection/>
    </xf>
    <xf numFmtId="3" fontId="1" fillId="16" borderId="53" xfId="0" applyNumberFormat="1" applyFont="1" applyFill="1" applyBorder="1" applyAlignment="1" applyProtection="1">
      <alignment horizontal="center" vertical="center"/>
      <protection/>
    </xf>
    <xf numFmtId="0" fontId="9" fillId="10" borderId="33" xfId="0" applyFont="1" applyFill="1" applyBorder="1" applyAlignment="1" applyProtection="1">
      <alignment horizontal="center" vertical="center"/>
      <protection/>
    </xf>
    <xf numFmtId="0" fontId="9" fillId="10" borderId="54" xfId="0" applyFont="1" applyFill="1" applyBorder="1" applyAlignment="1" applyProtection="1">
      <alignment horizontal="center" vertical="center"/>
      <protection/>
    </xf>
    <xf numFmtId="0" fontId="9" fillId="10" borderId="36" xfId="0" applyFont="1" applyFill="1" applyBorder="1" applyAlignment="1" applyProtection="1">
      <alignment horizontal="center" vertical="center" wrapText="1"/>
      <protection/>
    </xf>
    <xf numFmtId="0" fontId="9" fillId="10" borderId="37" xfId="0" applyFont="1" applyFill="1" applyBorder="1" applyAlignment="1" applyProtection="1">
      <alignment horizontal="center" vertical="center" wrapText="1"/>
      <protection/>
    </xf>
    <xf numFmtId="0" fontId="9" fillId="10" borderId="39" xfId="0" applyFont="1" applyFill="1" applyBorder="1" applyAlignment="1" applyProtection="1">
      <alignment horizontal="center" vertical="center" wrapText="1"/>
      <protection/>
    </xf>
    <xf numFmtId="0" fontId="1" fillId="17" borderId="29" xfId="0" applyFont="1" applyFill="1" applyBorder="1" applyAlignment="1" applyProtection="1">
      <alignment horizontal="center"/>
      <protection/>
    </xf>
    <xf numFmtId="0" fontId="1" fillId="17" borderId="19" xfId="0" applyFont="1" applyFill="1" applyBorder="1" applyAlignment="1" applyProtection="1">
      <alignment horizontal="center"/>
      <protection/>
    </xf>
    <xf numFmtId="0" fontId="1" fillId="17" borderId="55" xfId="0" applyFont="1" applyFill="1" applyBorder="1" applyAlignment="1" applyProtection="1">
      <alignment horizontal="center"/>
      <protection/>
    </xf>
    <xf numFmtId="0" fontId="1" fillId="17" borderId="17" xfId="0" applyFont="1" applyFill="1" applyBorder="1" applyAlignment="1" applyProtection="1">
      <alignment horizontal="center"/>
      <protection/>
    </xf>
    <xf numFmtId="0" fontId="9" fillId="16" borderId="56" xfId="0" applyFont="1" applyFill="1" applyBorder="1" applyAlignment="1" applyProtection="1">
      <alignment horizontal="center"/>
      <protection/>
    </xf>
    <xf numFmtId="0" fontId="9" fillId="16" borderId="0" xfId="0" applyFont="1" applyFill="1" applyBorder="1" applyAlignment="1" applyProtection="1">
      <alignment horizontal="center"/>
      <protection/>
    </xf>
    <xf numFmtId="0" fontId="9" fillId="16" borderId="29" xfId="0" applyFont="1" applyFill="1" applyBorder="1" applyAlignment="1" applyProtection="1">
      <alignment horizontal="center" vertical="center"/>
      <protection/>
    </xf>
    <xf numFmtId="0" fontId="9" fillId="16" borderId="19" xfId="0" applyFont="1" applyFill="1" applyBorder="1" applyAlignment="1" applyProtection="1">
      <alignment horizontal="center" vertical="center"/>
      <protection/>
    </xf>
    <xf numFmtId="0" fontId="9" fillId="16" borderId="17" xfId="0" applyFont="1" applyFill="1" applyBorder="1" applyAlignment="1" applyProtection="1">
      <alignment horizontal="center" vertical="center"/>
      <protection/>
    </xf>
    <xf numFmtId="0" fontId="9" fillId="16" borderId="45" xfId="0" applyFont="1" applyFill="1" applyBorder="1" applyAlignment="1" applyProtection="1">
      <alignment horizontal="center" vertical="center" wrapText="1"/>
      <protection/>
    </xf>
    <xf numFmtId="0" fontId="9" fillId="16" borderId="46" xfId="0" applyFont="1" applyFill="1" applyBorder="1" applyAlignment="1" applyProtection="1">
      <alignment horizontal="center" vertical="center" wrapText="1"/>
      <protection/>
    </xf>
    <xf numFmtId="0" fontId="9" fillId="16" borderId="5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9" fillId="10" borderId="33" xfId="0" applyFont="1" applyFill="1" applyBorder="1" applyAlignment="1" applyProtection="1">
      <alignment horizontal="center"/>
      <protection/>
    </xf>
    <xf numFmtId="0" fontId="9" fillId="10" borderId="54" xfId="0" applyFont="1" applyFill="1" applyBorder="1" applyAlignment="1" applyProtection="1">
      <alignment horizontal="center"/>
      <protection/>
    </xf>
    <xf numFmtId="0" fontId="0" fillId="8" borderId="15" xfId="0" applyFill="1" applyBorder="1" applyAlignment="1" applyProtection="1">
      <alignment horizontal="center" vertical="center"/>
      <protection/>
    </xf>
    <xf numFmtId="0" fontId="0" fillId="8" borderId="58" xfId="0" applyFill="1" applyBorder="1" applyAlignment="1" applyProtection="1">
      <alignment horizontal="center" vertical="center"/>
      <protection/>
    </xf>
    <xf numFmtId="0" fontId="0" fillId="8" borderId="16" xfId="0" applyFill="1" applyBorder="1" applyAlignment="1" applyProtection="1">
      <alignment horizontal="center" vertical="center"/>
      <protection/>
    </xf>
    <xf numFmtId="177" fontId="0" fillId="16" borderId="15" xfId="0" applyNumberFormat="1" applyFill="1" applyBorder="1" applyAlignment="1" applyProtection="1">
      <alignment horizontal="center" vertical="center"/>
      <protection/>
    </xf>
    <xf numFmtId="177" fontId="0" fillId="16" borderId="58" xfId="0" applyNumberFormat="1" applyFill="1" applyBorder="1" applyAlignment="1" applyProtection="1">
      <alignment horizontal="center" vertical="center"/>
      <protection/>
    </xf>
    <xf numFmtId="177" fontId="0" fillId="16" borderId="16" xfId="0" applyNumberFormat="1" applyFill="1" applyBorder="1" applyAlignment="1" applyProtection="1">
      <alignment horizontal="center" vertical="center"/>
      <protection/>
    </xf>
    <xf numFmtId="0" fontId="9" fillId="16" borderId="56" xfId="0" applyFont="1" applyFill="1" applyBorder="1" applyAlignment="1" applyProtection="1">
      <alignment horizontal="center" vertical="center"/>
      <protection/>
    </xf>
    <xf numFmtId="0" fontId="9" fillId="16" borderId="0" xfId="0" applyFont="1" applyFill="1" applyBorder="1" applyAlignment="1" applyProtection="1">
      <alignment horizontal="center" vertical="center"/>
      <protection/>
    </xf>
    <xf numFmtId="0" fontId="9" fillId="10" borderId="34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15.7109375" style="1" customWidth="1"/>
    <col min="2" max="4" width="13.7109375" style="1" customWidth="1"/>
    <col min="5" max="5" width="15.7109375" style="1" customWidth="1"/>
    <col min="6" max="6" width="15.57421875" style="1" customWidth="1"/>
    <col min="7" max="7" width="13.7109375" style="1" customWidth="1"/>
    <col min="8" max="8" width="16.7109375" style="1" customWidth="1"/>
    <col min="9" max="9" width="13.7109375" style="9" customWidth="1"/>
    <col min="10" max="10" width="10.421875" style="9" customWidth="1"/>
    <col min="11" max="12" width="13.8515625" style="1" customWidth="1"/>
    <col min="13" max="13" width="15.7109375" style="1" customWidth="1"/>
    <col min="14" max="15" width="13.8515625" style="1" customWidth="1"/>
    <col min="16" max="16" width="13.28125" style="1" customWidth="1"/>
    <col min="17" max="17" width="18.421875" style="1" customWidth="1"/>
    <col min="18" max="18" width="17.8515625" style="1" customWidth="1"/>
    <col min="19" max="19" width="15.28125" style="1" customWidth="1"/>
    <col min="20" max="21" width="17.00390625" style="1" customWidth="1"/>
    <col min="22" max="22" width="13.140625" style="1" customWidth="1"/>
    <col min="23" max="23" width="9.140625" style="1" customWidth="1"/>
    <col min="24" max="24" width="13.00390625" style="1" customWidth="1"/>
    <col min="25" max="25" width="19.28125" style="1" bestFit="1" customWidth="1"/>
    <col min="26" max="26" width="13.8515625" style="1" customWidth="1"/>
    <col min="27" max="27" width="19.28125" style="1" customWidth="1"/>
    <col min="28" max="28" width="15.140625" style="1" customWidth="1"/>
    <col min="30" max="16384" width="9.140625" style="1" customWidth="1"/>
  </cols>
  <sheetData>
    <row r="1" spans="1:15" ht="18.75" thickBot="1">
      <c r="A1" s="239" t="s">
        <v>164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13.5" thickBot="1">
      <c r="A2" s="124"/>
      <c r="B2" s="124"/>
      <c r="C2" s="124"/>
      <c r="D2" s="124"/>
      <c r="E2" s="124"/>
      <c r="F2" s="124"/>
      <c r="G2" s="124"/>
      <c r="H2" s="124"/>
      <c r="I2" s="134"/>
      <c r="J2" s="134"/>
      <c r="K2" s="124"/>
      <c r="L2" s="124"/>
      <c r="M2" s="124"/>
      <c r="N2" s="124"/>
      <c r="O2" s="124"/>
    </row>
    <row r="3" spans="1:15" ht="13.5" thickBot="1">
      <c r="A3" s="242" t="s">
        <v>168</v>
      </c>
      <c r="B3" s="243"/>
      <c r="C3" s="243"/>
      <c r="D3" s="243"/>
      <c r="E3" s="243"/>
      <c r="F3" s="243"/>
      <c r="G3" s="243"/>
      <c r="H3" s="243"/>
      <c r="I3" s="244"/>
      <c r="J3" s="135"/>
      <c r="K3" s="135"/>
      <c r="L3" s="135"/>
      <c r="M3" s="135"/>
      <c r="N3" s="135"/>
      <c r="O3" s="136"/>
    </row>
    <row r="4" spans="1:15" ht="20.25" customHeight="1">
      <c r="A4" s="137" t="s">
        <v>0</v>
      </c>
      <c r="B4" s="138" t="s">
        <v>53</v>
      </c>
      <c r="C4" s="138" t="s">
        <v>59</v>
      </c>
      <c r="D4" s="138" t="s">
        <v>56</v>
      </c>
      <c r="E4" s="138" t="s">
        <v>63</v>
      </c>
      <c r="F4" s="138" t="s">
        <v>57</v>
      </c>
      <c r="G4" s="138" t="s">
        <v>11</v>
      </c>
      <c r="H4" s="138" t="s">
        <v>58</v>
      </c>
      <c r="I4" s="139" t="s">
        <v>54</v>
      </c>
      <c r="J4" s="140"/>
      <c r="K4" s="141"/>
      <c r="L4" s="140"/>
      <c r="M4" s="136"/>
      <c r="N4" s="136"/>
      <c r="O4" s="136"/>
    </row>
    <row r="5" spans="1:15" ht="68.25" customHeight="1">
      <c r="A5" s="142" t="s">
        <v>1</v>
      </c>
      <c r="B5" s="143" t="s">
        <v>38</v>
      </c>
      <c r="C5" s="143" t="s">
        <v>196</v>
      </c>
      <c r="D5" s="143" t="s">
        <v>166</v>
      </c>
      <c r="E5" s="143" t="s">
        <v>167</v>
      </c>
      <c r="F5" s="143" t="s">
        <v>276</v>
      </c>
      <c r="G5" s="143" t="s">
        <v>10</v>
      </c>
      <c r="H5" s="143" t="s">
        <v>55</v>
      </c>
      <c r="I5" s="144" t="s">
        <v>9</v>
      </c>
      <c r="J5" s="145"/>
      <c r="K5" s="145"/>
      <c r="L5" s="145"/>
      <c r="M5" s="136"/>
      <c r="N5" s="136"/>
      <c r="O5" s="136"/>
    </row>
    <row r="6" spans="1:15" ht="12.75">
      <c r="A6" s="142" t="s">
        <v>3</v>
      </c>
      <c r="B6" s="146">
        <v>104070</v>
      </c>
      <c r="C6" s="147">
        <v>0.7086</v>
      </c>
      <c r="D6" s="148">
        <f>B6*C6</f>
        <v>73744.00200000001</v>
      </c>
      <c r="E6" s="148">
        <v>4000</v>
      </c>
      <c r="F6" s="148">
        <f>D6+E6</f>
        <v>77744.00200000001</v>
      </c>
      <c r="G6" s="149">
        <v>13</v>
      </c>
      <c r="H6" s="150">
        <f>F6*(G6-1)</f>
        <v>932928.0240000001</v>
      </c>
      <c r="I6" s="151">
        <v>0.06</v>
      </c>
      <c r="J6" s="152"/>
      <c r="K6" s="152"/>
      <c r="L6" s="153"/>
      <c r="M6" s="136"/>
      <c r="N6" s="136"/>
      <c r="O6" s="136"/>
    </row>
    <row r="7" spans="1:15" ht="12.75">
      <c r="A7" s="142" t="s">
        <v>4</v>
      </c>
      <c r="B7" s="146">
        <v>13238</v>
      </c>
      <c r="C7" s="147">
        <v>0.69071813</v>
      </c>
      <c r="D7" s="148">
        <f>B7*C7</f>
        <v>9143.72660494</v>
      </c>
      <c r="E7" s="148">
        <v>1000</v>
      </c>
      <c r="F7" s="148">
        <f>D7+E7</f>
        <v>10143.72660494</v>
      </c>
      <c r="G7" s="149">
        <v>13</v>
      </c>
      <c r="H7" s="150">
        <f>F7*(G7-1)</f>
        <v>121724.71925928001</v>
      </c>
      <c r="I7" s="151">
        <v>0.08</v>
      </c>
      <c r="J7" s="152"/>
      <c r="K7" s="152"/>
      <c r="L7" s="153"/>
      <c r="M7" s="136"/>
      <c r="N7" s="136"/>
      <c r="O7" s="136"/>
    </row>
    <row r="8" spans="1:15" ht="12.75">
      <c r="A8" s="142" t="s">
        <v>6</v>
      </c>
      <c r="B8" s="146">
        <v>213020</v>
      </c>
      <c r="C8" s="147">
        <v>0.686231</v>
      </c>
      <c r="D8" s="148">
        <f>B8*C8</f>
        <v>146180.92762</v>
      </c>
      <c r="E8" s="148">
        <v>4077</v>
      </c>
      <c r="F8" s="148">
        <f>D8+E8</f>
        <v>150257.92762</v>
      </c>
      <c r="G8" s="149">
        <v>13</v>
      </c>
      <c r="H8" s="150">
        <f>F8*(G8-1)</f>
        <v>1803095.1314400001</v>
      </c>
      <c r="I8" s="151">
        <v>0.01</v>
      </c>
      <c r="J8" s="152"/>
      <c r="K8" s="152"/>
      <c r="L8" s="153"/>
      <c r="M8" s="136"/>
      <c r="N8" s="136"/>
      <c r="O8" s="136"/>
    </row>
    <row r="9" spans="1:15" ht="12.75">
      <c r="A9" s="142" t="s">
        <v>36</v>
      </c>
      <c r="B9" s="146">
        <v>70681</v>
      </c>
      <c r="C9" s="147">
        <v>0.71708</v>
      </c>
      <c r="D9" s="148">
        <f>B9*C9</f>
        <v>50683.93148000001</v>
      </c>
      <c r="E9" s="148">
        <v>10400</v>
      </c>
      <c r="F9" s="148">
        <f>D9+E9</f>
        <v>61083.93148000001</v>
      </c>
      <c r="G9" s="149">
        <v>13</v>
      </c>
      <c r="H9" s="150">
        <f>F9*(G9-1)</f>
        <v>733007.1777600001</v>
      </c>
      <c r="I9" s="151">
        <v>0.02</v>
      </c>
      <c r="J9" s="152"/>
      <c r="K9" s="152"/>
      <c r="L9" s="153"/>
      <c r="M9" s="136"/>
      <c r="N9" s="136"/>
      <c r="O9" s="136"/>
    </row>
    <row r="10" spans="1:15" ht="12.75">
      <c r="A10" s="142" t="s">
        <v>5</v>
      </c>
      <c r="B10" s="146">
        <v>120434</v>
      </c>
      <c r="C10" s="147">
        <f>A25</f>
        <v>1.0550508599487045</v>
      </c>
      <c r="D10" s="148">
        <f>B10*C10</f>
        <v>127063.99526706227</v>
      </c>
      <c r="E10" s="148">
        <f>B25*A36</f>
        <v>9743.283475450287</v>
      </c>
      <c r="F10" s="148">
        <f>D10+E10</f>
        <v>136807.27874251257</v>
      </c>
      <c r="G10" s="149">
        <v>13</v>
      </c>
      <c r="H10" s="150">
        <f>F10*(G10-1)</f>
        <v>1641687.3449101509</v>
      </c>
      <c r="I10" s="151">
        <v>0.05</v>
      </c>
      <c r="J10" s="152"/>
      <c r="K10" s="152"/>
      <c r="L10" s="153"/>
      <c r="M10" s="136"/>
      <c r="N10" s="136"/>
      <c r="O10" s="136"/>
    </row>
    <row r="11" spans="1:29" ht="13.5" thickBot="1">
      <c r="A11" s="154"/>
      <c r="B11" s="155">
        <f>SUM(B6:B10)</f>
        <v>521443</v>
      </c>
      <c r="C11" s="156"/>
      <c r="D11" s="157">
        <f>SUM(D6:D10)</f>
        <v>406816.58297200233</v>
      </c>
      <c r="E11" s="157">
        <f>SUM(E6:E10)</f>
        <v>29220.283475450287</v>
      </c>
      <c r="F11" s="157">
        <f>SUM(F6:F10)</f>
        <v>436036.86644745263</v>
      </c>
      <c r="G11" s="158"/>
      <c r="H11" s="157">
        <f>SUM(H6:H10)</f>
        <v>5232442.397369431</v>
      </c>
      <c r="I11" s="159">
        <f>1-M21/H11</f>
        <v>0.034494239475352906</v>
      </c>
      <c r="J11" s="160"/>
      <c r="K11" s="160"/>
      <c r="L11" s="161"/>
      <c r="M11" s="136"/>
      <c r="N11" s="136"/>
      <c r="O11" s="136"/>
      <c r="AC11" s="1"/>
    </row>
    <row r="12" spans="1:29" ht="13.5" thickBot="1">
      <c r="A12" s="136"/>
      <c r="B12" s="136"/>
      <c r="C12" s="136"/>
      <c r="D12" s="231"/>
      <c r="E12" s="136"/>
      <c r="F12" s="136"/>
      <c r="G12" s="136"/>
      <c r="H12" s="136"/>
      <c r="I12" s="162"/>
      <c r="J12" s="162"/>
      <c r="K12" s="136"/>
      <c r="L12" s="136"/>
      <c r="M12" s="136"/>
      <c r="N12" s="136" t="s">
        <v>33</v>
      </c>
      <c r="O12" s="136"/>
      <c r="AC12" s="1"/>
    </row>
    <row r="13" spans="1:29" ht="13.5" thickBot="1">
      <c r="A13" s="242" t="s">
        <v>43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4"/>
      <c r="P13" s="14"/>
      <c r="R13" s="238"/>
      <c r="S13" s="238"/>
      <c r="T13" s="14"/>
      <c r="AC13" s="1"/>
    </row>
    <row r="14" spans="1:29" ht="21">
      <c r="A14" s="137" t="s">
        <v>0</v>
      </c>
      <c r="B14" s="138" t="s">
        <v>53</v>
      </c>
      <c r="C14" s="138" t="s">
        <v>195</v>
      </c>
      <c r="D14" s="138" t="s">
        <v>60</v>
      </c>
      <c r="E14" s="138" t="s">
        <v>64</v>
      </c>
      <c r="F14" s="138" t="s">
        <v>63</v>
      </c>
      <c r="G14" s="138" t="s">
        <v>13</v>
      </c>
      <c r="H14" s="138" t="s">
        <v>65</v>
      </c>
      <c r="I14" s="163" t="s">
        <v>170</v>
      </c>
      <c r="J14" s="138" t="s">
        <v>11</v>
      </c>
      <c r="K14" s="138" t="s">
        <v>172</v>
      </c>
      <c r="L14" s="138" t="s">
        <v>176</v>
      </c>
      <c r="M14" s="164" t="s">
        <v>177</v>
      </c>
      <c r="N14" s="138" t="s">
        <v>61</v>
      </c>
      <c r="O14" s="139" t="s">
        <v>179</v>
      </c>
      <c r="R14" s="14"/>
      <c r="S14" s="14"/>
      <c r="T14" s="14"/>
      <c r="U14" s="15"/>
      <c r="V14" s="15"/>
      <c r="AC14" s="1"/>
    </row>
    <row r="15" spans="1:29" ht="100.5" customHeight="1">
      <c r="A15" s="142" t="s">
        <v>1</v>
      </c>
      <c r="B15" s="143" t="s">
        <v>38</v>
      </c>
      <c r="C15" s="143" t="s">
        <v>287</v>
      </c>
      <c r="D15" s="143" t="s">
        <v>7</v>
      </c>
      <c r="E15" s="143" t="s">
        <v>169</v>
      </c>
      <c r="F15" s="143" t="s">
        <v>167</v>
      </c>
      <c r="G15" s="143" t="s">
        <v>44</v>
      </c>
      <c r="H15" s="143" t="s">
        <v>175</v>
      </c>
      <c r="I15" s="143" t="s">
        <v>171</v>
      </c>
      <c r="J15" s="143" t="s">
        <v>10</v>
      </c>
      <c r="K15" s="143" t="s">
        <v>173</v>
      </c>
      <c r="L15" s="143" t="s">
        <v>174</v>
      </c>
      <c r="M15" s="143" t="s">
        <v>178</v>
      </c>
      <c r="N15" s="143" t="s">
        <v>62</v>
      </c>
      <c r="O15" s="144" t="s">
        <v>180</v>
      </c>
      <c r="R15" s="14"/>
      <c r="S15" s="12"/>
      <c r="T15" s="14"/>
      <c r="U15" s="12"/>
      <c r="V15" s="12"/>
      <c r="AC15" s="1"/>
    </row>
    <row r="16" spans="1:29" ht="12.75">
      <c r="A16" s="142" t="s">
        <v>3</v>
      </c>
      <c r="B16" s="146">
        <f>B6</f>
        <v>104070</v>
      </c>
      <c r="C16" s="147">
        <v>0.6125</v>
      </c>
      <c r="D16" s="165">
        <v>0.27</v>
      </c>
      <c r="E16" s="148">
        <f>(B16*C16)*(1-D16)</f>
        <v>46532.29875</v>
      </c>
      <c r="F16" s="148">
        <v>4000</v>
      </c>
      <c r="G16" s="165">
        <v>0.06</v>
      </c>
      <c r="H16" s="148">
        <f>F16*(1-G16)</f>
        <v>3760</v>
      </c>
      <c r="I16" s="148">
        <f>(D6*(1-I6)-(B16*C16)*(1-D16))*(J16-1)</f>
        <v>273444.75755999994</v>
      </c>
      <c r="J16" s="149">
        <v>13</v>
      </c>
      <c r="K16" s="148">
        <f>I16/(J16-1)</f>
        <v>22787.063129999995</v>
      </c>
      <c r="L16" s="150">
        <f>E16+H16+(I16/(J16-1))</f>
        <v>73079.36188</v>
      </c>
      <c r="M16" s="150">
        <f>(E16+H16)*(J16-1)+I16</f>
        <v>876952.3425599999</v>
      </c>
      <c r="N16" s="150">
        <f>F6*0.9</f>
        <v>69969.6018</v>
      </c>
      <c r="O16" s="166">
        <f aca="true" t="shared" si="0" ref="O16:O21">M16+N16</f>
        <v>946921.9443599998</v>
      </c>
      <c r="R16" s="14"/>
      <c r="S16" s="18"/>
      <c r="T16" s="14"/>
      <c r="U16" s="18"/>
      <c r="V16" s="19"/>
      <c r="AC16" s="1"/>
    </row>
    <row r="17" spans="1:29" ht="12.75">
      <c r="A17" s="142" t="s">
        <v>4</v>
      </c>
      <c r="B17" s="146">
        <f>B7</f>
        <v>13238</v>
      </c>
      <c r="C17" s="147">
        <f>C16</f>
        <v>0.6125</v>
      </c>
      <c r="D17" s="165">
        <v>0.19</v>
      </c>
      <c r="E17" s="148">
        <f>(B17*C17)*(1-D17)</f>
        <v>6567.702750000001</v>
      </c>
      <c r="F17" s="148">
        <v>1000</v>
      </c>
      <c r="G17" s="165">
        <v>0.08</v>
      </c>
      <c r="H17" s="148">
        <f>F17*(1-G17)</f>
        <v>920</v>
      </c>
      <c r="I17" s="148">
        <f>(D7*(1-I7)-(B17*C17)*(1-D17))*(J17-1)</f>
        <v>22134.308718537588</v>
      </c>
      <c r="J17" s="149">
        <v>13</v>
      </c>
      <c r="K17" s="148">
        <f>I17/(J17-1)</f>
        <v>1844.525726544799</v>
      </c>
      <c r="L17" s="150">
        <f>E17+H17+(I17/(J17-1))</f>
        <v>9332.2284765448</v>
      </c>
      <c r="M17" s="150">
        <f>(E17+H17)*(J17-1)+I17</f>
        <v>111986.74171853761</v>
      </c>
      <c r="N17" s="150">
        <f>F7*0.9</f>
        <v>9129.353944446</v>
      </c>
      <c r="O17" s="166">
        <f t="shared" si="0"/>
        <v>121116.09566298361</v>
      </c>
      <c r="R17" s="14"/>
      <c r="S17" s="18"/>
      <c r="T17" s="14"/>
      <c r="U17" s="18"/>
      <c r="V17" s="19"/>
      <c r="AC17" s="1"/>
    </row>
    <row r="18" spans="1:29" ht="12.75">
      <c r="A18" s="142" t="s">
        <v>6</v>
      </c>
      <c r="B18" s="146">
        <f>B8</f>
        <v>213020</v>
      </c>
      <c r="C18" s="147">
        <f>C17</f>
        <v>0.6125</v>
      </c>
      <c r="D18" s="165">
        <v>0.13</v>
      </c>
      <c r="E18" s="148">
        <f>(B18*C18)*(1-D18)</f>
        <v>113513.03250000002</v>
      </c>
      <c r="F18" s="148">
        <v>4077</v>
      </c>
      <c r="G18" s="165">
        <v>0.01</v>
      </c>
      <c r="H18" s="148">
        <f>F18*(1-G18)</f>
        <v>4036.23</v>
      </c>
      <c r="I18" s="148">
        <f>(D8*(1-I8)-(B18*C18)*(1-D18))*(J18-1)</f>
        <v>374473.0301256</v>
      </c>
      <c r="J18" s="149">
        <v>13</v>
      </c>
      <c r="K18" s="148">
        <f>I18/(J18-1)</f>
        <v>31206.0858438</v>
      </c>
      <c r="L18" s="150">
        <f>E18+H18+(I18/(J18-1))</f>
        <v>148755.3483438</v>
      </c>
      <c r="M18" s="150">
        <f>(E18+H18)*(J18-1)+I18</f>
        <v>1785064.1801256002</v>
      </c>
      <c r="N18" s="150">
        <f>F8*0.9</f>
        <v>135232.134858</v>
      </c>
      <c r="O18" s="166">
        <f t="shared" si="0"/>
        <v>1920296.3149836003</v>
      </c>
      <c r="R18" s="14"/>
      <c r="S18" s="18"/>
      <c r="T18" s="14"/>
      <c r="U18" s="18"/>
      <c r="V18" s="19"/>
      <c r="AC18" s="1"/>
    </row>
    <row r="19" spans="1:29" ht="12.75">
      <c r="A19" s="142" t="s">
        <v>36</v>
      </c>
      <c r="B19" s="146">
        <f>B9</f>
        <v>70681</v>
      </c>
      <c r="C19" s="147">
        <f>C20</f>
        <v>0.6125</v>
      </c>
      <c r="D19" s="165">
        <v>0.245</v>
      </c>
      <c r="E19" s="148">
        <f>(B19*C19)*(1-D19)</f>
        <v>32685.544937500003</v>
      </c>
      <c r="F19" s="148">
        <v>10400</v>
      </c>
      <c r="G19" s="165">
        <v>0.02</v>
      </c>
      <c r="H19" s="148">
        <f>F19*(1-G19)</f>
        <v>10192</v>
      </c>
      <c r="I19" s="148">
        <f>(D9*(1-I9)-(B19*C19)*(1-D19))*(J19-1)</f>
        <v>203816.49495480006</v>
      </c>
      <c r="J19" s="149">
        <v>13</v>
      </c>
      <c r="K19" s="148">
        <f>I19/(J19-1)</f>
        <v>16984.707912900005</v>
      </c>
      <c r="L19" s="150">
        <f>E19+H19+(I19/(J19-1))</f>
        <v>59862.25285040001</v>
      </c>
      <c r="M19" s="150">
        <f>(E19+H19)*(J19-1)+I19</f>
        <v>718347.0342048001</v>
      </c>
      <c r="N19" s="150">
        <f>F9*0.9</f>
        <v>54975.538332000004</v>
      </c>
      <c r="O19" s="166">
        <f t="shared" si="0"/>
        <v>773322.5725368002</v>
      </c>
      <c r="R19" s="14"/>
      <c r="S19" s="18"/>
      <c r="T19" s="14"/>
      <c r="U19" s="18"/>
      <c r="V19" s="19"/>
      <c r="AC19" s="1"/>
    </row>
    <row r="20" spans="1:29" ht="12.75">
      <c r="A20" s="142" t="s">
        <v>5</v>
      </c>
      <c r="B20" s="146">
        <f>B10</f>
        <v>120434</v>
      </c>
      <c r="C20" s="147">
        <f>C18</f>
        <v>0.6125</v>
      </c>
      <c r="D20" s="165">
        <v>0.4</v>
      </c>
      <c r="E20" s="148">
        <f>(B20*C20)*(1-D20)</f>
        <v>44259.495</v>
      </c>
      <c r="F20" s="148">
        <f>E10</f>
        <v>9743.283475450287</v>
      </c>
      <c r="G20" s="165">
        <v>0.05</v>
      </c>
      <c r="H20" s="148">
        <f>F20*(1-G20)</f>
        <v>9256.119301677772</v>
      </c>
      <c r="I20" s="148">
        <f>(D10*(1-I10)-(B20*C20)*(1-D20))*(J20-1)</f>
        <v>917415.6060445098</v>
      </c>
      <c r="J20" s="149">
        <v>13</v>
      </c>
      <c r="K20" s="148">
        <f>I20/(J20-1)</f>
        <v>76451.30050370915</v>
      </c>
      <c r="L20" s="150">
        <f>E20+H20+(I20/(J20-1))</f>
        <v>129966.91480538693</v>
      </c>
      <c r="M20" s="150">
        <f>(E20+H20)*(J20-1)+I20</f>
        <v>1559602.977664643</v>
      </c>
      <c r="N20" s="150">
        <f>F10*0.9</f>
        <v>123126.55086826131</v>
      </c>
      <c r="O20" s="166">
        <f t="shared" si="0"/>
        <v>1682729.5285329043</v>
      </c>
      <c r="R20" s="14"/>
      <c r="S20" s="18"/>
      <c r="T20" s="14"/>
      <c r="U20" s="18"/>
      <c r="V20" s="19"/>
      <c r="AC20" s="1"/>
    </row>
    <row r="21" spans="1:29" ht="13.5" thickBot="1">
      <c r="A21" s="154"/>
      <c r="B21" s="155">
        <f>SUM(B16:B20)</f>
        <v>521443</v>
      </c>
      <c r="C21" s="157"/>
      <c r="D21" s="167"/>
      <c r="E21" s="157">
        <f>SUM(E16:E20)</f>
        <v>243558.0739375</v>
      </c>
      <c r="F21" s="157">
        <f>SUM(F16:F20)</f>
        <v>29220.283475450287</v>
      </c>
      <c r="G21" s="167"/>
      <c r="H21" s="157">
        <f>SUM(H16:H20)</f>
        <v>28164.349301677772</v>
      </c>
      <c r="I21" s="157">
        <f>SUM(I16:I20)</f>
        <v>1791284.1974034472</v>
      </c>
      <c r="J21" s="158"/>
      <c r="K21" s="157">
        <f>SUM(K16:K20)</f>
        <v>149273.68311695394</v>
      </c>
      <c r="L21" s="168">
        <f>SUM(L16:L20)</f>
        <v>420996.1063561317</v>
      </c>
      <c r="M21" s="168">
        <f>SUM(M16:M20)</f>
        <v>5051953.27627358</v>
      </c>
      <c r="N21" s="168">
        <f>SUM(N16:N20)</f>
        <v>392433.17980270734</v>
      </c>
      <c r="O21" s="169">
        <f t="shared" si="0"/>
        <v>5444386.456076288</v>
      </c>
      <c r="R21" s="14"/>
      <c r="S21" s="21"/>
      <c r="T21" s="14"/>
      <c r="U21" s="21"/>
      <c r="V21" s="22"/>
      <c r="AC21" s="1"/>
    </row>
    <row r="22" spans="1:29" ht="12.75">
      <c r="A22" s="124"/>
      <c r="B22" s="124"/>
      <c r="C22" s="124"/>
      <c r="D22" s="124"/>
      <c r="E22" s="124"/>
      <c r="F22" s="124"/>
      <c r="G22" s="124"/>
      <c r="H22" s="124"/>
      <c r="I22" s="162"/>
      <c r="J22" s="162"/>
      <c r="K22" s="124"/>
      <c r="L22" s="124"/>
      <c r="M22" s="124"/>
      <c r="N22" s="124"/>
      <c r="O22" s="124"/>
      <c r="P22" s="14"/>
      <c r="AC22" s="1"/>
    </row>
    <row r="23" ht="12" customHeight="1" hidden="1">
      <c r="AC23" s="1"/>
    </row>
    <row r="24" spans="4:29" ht="12" customHeight="1" hidden="1">
      <c r="D24" s="6">
        <v>420000</v>
      </c>
      <c r="E24" s="6"/>
      <c r="F24" s="6"/>
      <c r="G24" s="6"/>
      <c r="H24" s="6"/>
      <c r="I24" s="10"/>
      <c r="J24" s="10"/>
      <c r="K24" s="6"/>
      <c r="L24" s="6"/>
      <c r="P24" s="1">
        <v>26000</v>
      </c>
      <c r="S24" s="2"/>
      <c r="X24" s="1">
        <f>(D24+P24)*12</f>
        <v>5352000</v>
      </c>
      <c r="AC24" s="1"/>
    </row>
    <row r="25" spans="1:29" ht="12" customHeight="1" hidden="1">
      <c r="A25" s="232">
        <f>(B25-E10)/123408</f>
        <v>1.0550508599487045</v>
      </c>
      <c r="B25" s="1">
        <v>139945</v>
      </c>
      <c r="D25" s="3"/>
      <c r="E25" s="3"/>
      <c r="F25" s="3"/>
      <c r="G25" s="3"/>
      <c r="H25" s="3"/>
      <c r="I25" s="11"/>
      <c r="J25" s="11"/>
      <c r="K25" s="3"/>
      <c r="L25" s="3"/>
      <c r="P25" s="3"/>
      <c r="AC25" s="1"/>
    </row>
    <row r="26" spans="4:29" ht="12" customHeight="1" hidden="1">
      <c r="D26" s="1" t="s">
        <v>17</v>
      </c>
      <c r="M26" s="1" t="s">
        <v>18</v>
      </c>
      <c r="P26" s="3"/>
      <c r="Q26" s="5">
        <f>D29*(Q27/Q28)</f>
        <v>0</v>
      </c>
      <c r="S26" s="1" t="s">
        <v>26</v>
      </c>
      <c r="T26" s="1" t="s">
        <v>27</v>
      </c>
      <c r="V26" s="5" t="e">
        <f>S29*(V27/V28)</f>
        <v>#REF!</v>
      </c>
      <c r="AC26" s="1"/>
    </row>
    <row r="27" spans="1:22" ht="12" customHeight="1" hidden="1">
      <c r="A27" s="1" t="s">
        <v>52</v>
      </c>
      <c r="D27" s="1" t="s">
        <v>19</v>
      </c>
      <c r="F27">
        <v>0.271897</v>
      </c>
      <c r="M27" s="1" t="s">
        <v>20</v>
      </c>
      <c r="Q27" s="4">
        <f>V21</f>
        <v>0</v>
      </c>
      <c r="S27" s="1" t="s">
        <v>28</v>
      </c>
      <c r="T27" s="1" t="s">
        <v>29</v>
      </c>
      <c r="V27" s="4" t="e">
        <f>#REF!</f>
        <v>#REF!</v>
      </c>
    </row>
    <row r="28" spans="1:29" ht="12" customHeight="1" hidden="1">
      <c r="A28" s="8">
        <v>100000000</v>
      </c>
      <c r="B28" s="1" t="s">
        <v>39</v>
      </c>
      <c r="D28" s="1" t="s">
        <v>21</v>
      </c>
      <c r="F28">
        <v>0.2671</v>
      </c>
      <c r="H28" s="1">
        <v>105000000</v>
      </c>
      <c r="M28" s="1" t="s">
        <v>22</v>
      </c>
      <c r="P28" s="3"/>
      <c r="Q28" s="4">
        <v>0.12</v>
      </c>
      <c r="S28" s="1" t="s">
        <v>30</v>
      </c>
      <c r="T28" s="1" t="s">
        <v>31</v>
      </c>
      <c r="V28" s="4">
        <v>0.05</v>
      </c>
      <c r="AC28" s="1"/>
    </row>
    <row r="29" spans="1:29" ht="12" customHeight="1" hidden="1">
      <c r="A29" s="8">
        <v>60771100</v>
      </c>
      <c r="B29" s="1" t="s">
        <v>40</v>
      </c>
      <c r="D29" s="1">
        <v>40</v>
      </c>
      <c r="F29">
        <f>F27-F28</f>
        <v>0.004796999999999996</v>
      </c>
      <c r="H29" s="1">
        <v>59300000</v>
      </c>
      <c r="M29" s="1" t="s">
        <v>23</v>
      </c>
      <c r="P29" s="3"/>
      <c r="S29" s="1">
        <v>30</v>
      </c>
      <c r="T29" s="1" t="s">
        <v>32</v>
      </c>
      <c r="AC29" s="1"/>
    </row>
    <row r="30" spans="1:29" ht="12" customHeight="1" hidden="1">
      <c r="A30" s="1">
        <f>A29/A28</f>
        <v>0.607711</v>
      </c>
      <c r="B30" s="1" t="s">
        <v>41</v>
      </c>
      <c r="F30">
        <v>0.6077</v>
      </c>
      <c r="H30" s="1">
        <f>H29/H28</f>
        <v>0.5647619047619048</v>
      </c>
      <c r="AC30" s="1"/>
    </row>
    <row r="31" spans="6:29" ht="12" customHeight="1" hidden="1">
      <c r="F31">
        <f>F30+F29</f>
        <v>0.6124970000000001</v>
      </c>
      <c r="T31" s="1">
        <f>166+17+222+500+133</f>
        <v>1038</v>
      </c>
      <c r="AC31" s="1"/>
    </row>
    <row r="32" spans="4:13" ht="12" customHeight="1" hidden="1">
      <c r="D32" s="1" t="s">
        <v>17</v>
      </c>
      <c r="M32" s="1" t="s">
        <v>24</v>
      </c>
    </row>
    <row r="33" ht="12" customHeight="1" hidden="1"/>
    <row r="34" ht="12" customHeight="1" hidden="1">
      <c r="A34" s="7">
        <f>D6+D7+D8+D9</f>
        <v>279752.58770494006</v>
      </c>
    </row>
    <row r="35" spans="1:8" ht="12" customHeight="1" hidden="1">
      <c r="A35" s="7">
        <f>E6+E7+E8+E9</f>
        <v>19477</v>
      </c>
      <c r="H35" s="1" t="s">
        <v>277</v>
      </c>
    </row>
    <row r="36" spans="1:29" ht="12" customHeight="1" hidden="1">
      <c r="A36" s="1">
        <f>A35/A34</f>
        <v>0.06962223355925748</v>
      </c>
      <c r="B36" s="1" t="s">
        <v>42</v>
      </c>
      <c r="D36" s="12"/>
      <c r="E36" s="12"/>
      <c r="F36" s="12"/>
      <c r="G36" s="12"/>
      <c r="H36" s="12" t="s">
        <v>278</v>
      </c>
      <c r="I36" s="12">
        <f>6.3216667*12/10000</f>
        <v>0.007586000039999999</v>
      </c>
      <c r="J36" s="12"/>
      <c r="K36" s="12"/>
      <c r="L36" s="12"/>
      <c r="M36" s="13"/>
      <c r="N36" s="13"/>
      <c r="O36" s="12"/>
      <c r="P36" s="12"/>
      <c r="Q36" s="13"/>
      <c r="R36" s="13"/>
      <c r="S36" s="12"/>
      <c r="T36" s="13"/>
      <c r="U36" s="13"/>
      <c r="V36" s="13"/>
      <c r="W36" s="14"/>
      <c r="X36" s="14"/>
      <c r="Y36" s="15"/>
      <c r="Z36" s="15"/>
      <c r="AA36" s="15"/>
      <c r="AB36" s="15"/>
      <c r="AC36" s="24"/>
    </row>
    <row r="37" spans="4:29" ht="12" customHeight="1" hidden="1">
      <c r="D37" s="12"/>
      <c r="E37" s="12"/>
      <c r="F37" s="12"/>
      <c r="G37" s="12"/>
      <c r="H37" s="12" t="s">
        <v>279</v>
      </c>
      <c r="I37" s="12">
        <f>F27</f>
        <v>0.271897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24"/>
    </row>
    <row r="38" spans="4:29" ht="12" customHeight="1" hidden="1">
      <c r="D38" s="23"/>
      <c r="E38" s="23"/>
      <c r="F38" s="23"/>
      <c r="G38" s="23"/>
      <c r="H38" s="23" t="s">
        <v>280</v>
      </c>
      <c r="I38" s="23"/>
      <c r="J38" s="23"/>
      <c r="K38" s="23"/>
      <c r="L38" s="23"/>
      <c r="M38" s="17"/>
      <c r="N38" s="17"/>
      <c r="O38" s="16"/>
      <c r="P38" s="23"/>
      <c r="Q38" s="17"/>
      <c r="R38" s="17"/>
      <c r="S38" s="16"/>
      <c r="T38" s="23"/>
      <c r="U38" s="16"/>
      <c r="V38" s="16"/>
      <c r="W38" s="25"/>
      <c r="X38" s="18"/>
      <c r="Y38" s="18"/>
      <c r="Z38" s="26"/>
      <c r="AA38" s="18"/>
      <c r="AB38" s="19"/>
      <c r="AC38" s="24"/>
    </row>
    <row r="39" spans="4:29" ht="12" customHeight="1" hidden="1">
      <c r="D39" s="23"/>
      <c r="E39" s="23"/>
      <c r="F39" s="23"/>
      <c r="G39" s="23"/>
      <c r="H39" s="23" t="s">
        <v>281</v>
      </c>
      <c r="I39" s="12">
        <f>22.898334*12/10000</f>
        <v>0.027478000799999996</v>
      </c>
      <c r="J39" s="23"/>
      <c r="K39" s="23"/>
      <c r="L39" s="23"/>
      <c r="M39" s="12">
        <f>22.9365837/5429</f>
        <v>0.004224826616319764</v>
      </c>
      <c r="N39" s="17"/>
      <c r="O39" s="16"/>
      <c r="P39" s="23"/>
      <c r="Q39" s="17"/>
      <c r="R39" s="17"/>
      <c r="S39" s="16"/>
      <c r="T39" s="23"/>
      <c r="U39" s="16"/>
      <c r="V39" s="16"/>
      <c r="W39" s="25"/>
      <c r="X39" s="18"/>
      <c r="Y39" s="18"/>
      <c r="Z39" s="26"/>
      <c r="AA39" s="18"/>
      <c r="AB39" s="19"/>
      <c r="AC39" s="24"/>
    </row>
    <row r="40" spans="4:29" ht="12" customHeight="1" hidden="1">
      <c r="D40" s="23"/>
      <c r="E40" s="23"/>
      <c r="F40" s="23"/>
      <c r="G40" s="23"/>
      <c r="H40" s="23" t="s">
        <v>282</v>
      </c>
      <c r="I40" s="12">
        <v>0.001336</v>
      </c>
      <c r="J40" s="23"/>
      <c r="K40" s="23"/>
      <c r="L40" s="23"/>
      <c r="M40" s="12">
        <f>2.898334/170</f>
        <v>0.017049023529411764</v>
      </c>
      <c r="N40" s="17"/>
      <c r="O40" s="16"/>
      <c r="P40" s="23"/>
      <c r="Q40" s="17"/>
      <c r="R40" s="17"/>
      <c r="S40" s="16"/>
      <c r="T40" s="23"/>
      <c r="U40" s="16"/>
      <c r="V40" s="16"/>
      <c r="W40" s="25"/>
      <c r="X40" s="18"/>
      <c r="Y40" s="18"/>
      <c r="Z40" s="26"/>
      <c r="AA40" s="18"/>
      <c r="AB40" s="19"/>
      <c r="AC40" s="24"/>
    </row>
    <row r="41" spans="1:29" ht="12" customHeight="1" hidden="1">
      <c r="A41" s="1" t="s">
        <v>45</v>
      </c>
      <c r="D41" s="23"/>
      <c r="E41" s="23"/>
      <c r="F41" s="23"/>
      <c r="G41" s="23"/>
      <c r="H41" s="23" t="s">
        <v>283</v>
      </c>
      <c r="I41" s="12">
        <v>0.02995</v>
      </c>
      <c r="J41" s="23"/>
      <c r="K41" s="23"/>
      <c r="L41" s="23"/>
      <c r="M41" s="17"/>
      <c r="N41" s="17"/>
      <c r="O41" s="16"/>
      <c r="P41" s="23"/>
      <c r="Q41" s="17"/>
      <c r="R41" s="17"/>
      <c r="S41" s="16"/>
      <c r="T41" s="23"/>
      <c r="U41" s="16"/>
      <c r="V41" s="16"/>
      <c r="W41" s="25"/>
      <c r="X41" s="18"/>
      <c r="Y41" s="18"/>
      <c r="Z41" s="26"/>
      <c r="AA41" s="18"/>
      <c r="AB41" s="19"/>
      <c r="AC41" s="24"/>
    </row>
    <row r="42" spans="1:29" ht="12" customHeight="1" hidden="1">
      <c r="A42" s="1" t="s">
        <v>46</v>
      </c>
      <c r="B42" s="1">
        <v>0.2118</v>
      </c>
      <c r="D42" s="23"/>
      <c r="E42" s="23"/>
      <c r="F42" s="23"/>
      <c r="G42" s="23"/>
      <c r="H42" s="23" t="s">
        <v>284</v>
      </c>
      <c r="I42" s="12">
        <v>0.138128</v>
      </c>
      <c r="J42" s="23"/>
      <c r="K42" s="23"/>
      <c r="L42" s="23"/>
      <c r="M42" s="17"/>
      <c r="N42" s="17"/>
      <c r="O42" s="16"/>
      <c r="P42" s="23"/>
      <c r="Q42" s="17"/>
      <c r="R42" s="17"/>
      <c r="S42" s="16"/>
      <c r="T42" s="23"/>
      <c r="U42" s="16"/>
      <c r="V42" s="16"/>
      <c r="W42" s="25"/>
      <c r="X42" s="18"/>
      <c r="Y42" s="18"/>
      <c r="Z42" s="26"/>
      <c r="AA42" s="18"/>
      <c r="AB42" s="19"/>
      <c r="AC42" s="24"/>
    </row>
    <row r="43" spans="1:29" ht="12" customHeight="1" hidden="1">
      <c r="A43" s="1" t="s">
        <v>47</v>
      </c>
      <c r="B43" s="1">
        <v>0.284342</v>
      </c>
      <c r="D43" s="20"/>
      <c r="E43" s="20"/>
      <c r="F43" s="20"/>
      <c r="G43" s="20"/>
      <c r="H43" s="20" t="s">
        <v>285</v>
      </c>
      <c r="I43" s="12">
        <v>0.012498</v>
      </c>
      <c r="J43" s="20"/>
      <c r="K43" s="20"/>
      <c r="L43" s="20"/>
      <c r="M43" s="27"/>
      <c r="N43" s="27"/>
      <c r="O43" s="20"/>
      <c r="P43" s="20"/>
      <c r="Q43" s="27"/>
      <c r="R43" s="27"/>
      <c r="S43" s="20"/>
      <c r="T43" s="20"/>
      <c r="U43" s="20"/>
      <c r="V43" s="20"/>
      <c r="W43" s="18"/>
      <c r="X43" s="21"/>
      <c r="Y43" s="21"/>
      <c r="Z43" s="28"/>
      <c r="AA43" s="21"/>
      <c r="AB43" s="22"/>
      <c r="AC43" s="24"/>
    </row>
    <row r="44" spans="1:29" ht="12" customHeight="1" hidden="1">
      <c r="A44" s="1" t="s">
        <v>48</v>
      </c>
      <c r="B44" s="1">
        <f>0.104+0.0501+0.0111</f>
        <v>0.16519999999999999</v>
      </c>
      <c r="C44" s="1">
        <f>B43+B44</f>
        <v>0.449542</v>
      </c>
      <c r="D44" s="14"/>
      <c r="E44" s="14"/>
      <c r="F44" s="14"/>
      <c r="G44" s="14"/>
      <c r="H44" s="23" t="s">
        <v>286</v>
      </c>
      <c r="I44" s="12">
        <v>0.006249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24"/>
    </row>
    <row r="45" spans="1:29" ht="12" customHeight="1" hidden="1">
      <c r="A45" s="1" t="s">
        <v>49</v>
      </c>
      <c r="B45" s="1">
        <f>B42+B43+B44</f>
        <v>0.661342</v>
      </c>
      <c r="D45" s="14"/>
      <c r="E45" s="14"/>
      <c r="F45" s="14"/>
      <c r="G45" s="14"/>
      <c r="H45" s="14"/>
      <c r="I45" s="14">
        <f>SUM(I36:I44)</f>
        <v>0.49512200083999997</v>
      </c>
      <c r="J45" s="14"/>
      <c r="K45" s="14"/>
      <c r="L45" s="14"/>
      <c r="M45" s="14"/>
      <c r="N45" s="18"/>
      <c r="O45" s="14"/>
      <c r="P45" s="14"/>
      <c r="Q45" s="14"/>
      <c r="R45" s="14"/>
      <c r="S45" s="14"/>
      <c r="T45" s="18"/>
      <c r="U45" s="14"/>
      <c r="V45" s="14"/>
      <c r="W45" s="14"/>
      <c r="X45" s="14"/>
      <c r="Y45" s="14"/>
      <c r="Z45" s="14"/>
      <c r="AA45" s="14"/>
      <c r="AB45" s="14"/>
      <c r="AC45" s="24"/>
    </row>
    <row r="46" spans="1:29" ht="12" customHeight="1" hidden="1">
      <c r="A46" s="1" t="s">
        <v>50</v>
      </c>
      <c r="B46" s="1">
        <v>-0.042</v>
      </c>
      <c r="D46" s="14"/>
      <c r="E46" s="14"/>
      <c r="F46" s="14"/>
      <c r="G46" s="14"/>
      <c r="H46" s="14"/>
      <c r="I46" s="14">
        <f>I45*1.22</f>
        <v>0.6040488410247999</v>
      </c>
      <c r="J46" s="14"/>
      <c r="K46" s="14"/>
      <c r="L46" s="14"/>
      <c r="M46" s="14">
        <v>170</v>
      </c>
      <c r="N46" s="18">
        <v>109.65</v>
      </c>
      <c r="O46" s="14">
        <f>N46/M46</f>
        <v>0.645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24"/>
    </row>
    <row r="47" spans="1:29" ht="12" customHeight="1" hidden="1">
      <c r="A47" s="1" t="s">
        <v>51</v>
      </c>
      <c r="B47" s="29">
        <f>B45+B46</f>
        <v>0.619342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24"/>
    </row>
    <row r="48" ht="12" customHeight="1" hidden="1"/>
    <row r="49" ht="12.75" hidden="1"/>
  </sheetData>
  <sheetProtection password="80D9" sheet="1"/>
  <mergeCells count="4">
    <mergeCell ref="R13:S13"/>
    <mergeCell ref="A1:O1"/>
    <mergeCell ref="A13:O13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6"/>
  <colBreaks count="1" manualBreakCount="1">
    <brk id="15" max="65535" man="1"/>
  </colBreaks>
  <legacyDrawing r:id="rId5"/>
  <oleObjects>
    <oleObject progId="Equation.3" shapeId="2044976" r:id="rId1"/>
    <oleObject progId="Equation.3" shapeId="2044977" r:id="rId2"/>
    <oleObject progId="Equation.3" shapeId="2044978" r:id="rId3"/>
    <oleObject progId="Equation.3" shapeId="204497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view="pageBreakPreview" zoomScale="85" zoomScaleNormal="80" zoomScaleSheetLayoutView="85" zoomScalePageLayoutView="0" workbookViewId="0" topLeftCell="A1">
      <selection activeCell="B22" sqref="B22:B23"/>
    </sheetView>
  </sheetViews>
  <sheetFormatPr defaultColWidth="9.140625" defaultRowHeight="12.75"/>
  <cols>
    <col min="1" max="1" width="42.7109375" style="32" customWidth="1"/>
    <col min="2" max="10" width="18.7109375" style="32" customWidth="1"/>
    <col min="11" max="11" width="11.00390625" style="32" customWidth="1"/>
    <col min="12" max="18" width="9.140625" style="32" customWidth="1"/>
    <col min="19" max="19" width="18.57421875" style="32" customWidth="1"/>
    <col min="20" max="20" width="21.57421875" style="32" customWidth="1"/>
    <col min="21" max="16384" width="9.140625" style="32" customWidth="1"/>
  </cols>
  <sheetData>
    <row r="1" spans="1:10" ht="18.75" thickBot="1">
      <c r="A1" s="239" t="s">
        <v>99</v>
      </c>
      <c r="B1" s="240"/>
      <c r="C1" s="240"/>
      <c r="D1" s="240"/>
      <c r="E1" s="240"/>
      <c r="F1" s="240"/>
      <c r="G1" s="240"/>
      <c r="H1" s="240"/>
      <c r="I1" s="240"/>
      <c r="J1" s="241"/>
    </row>
    <row r="2" spans="1:10" s="111" customFormat="1" ht="18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8">
      <c r="A3" s="119" t="s">
        <v>264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3.75" customHeight="1">
      <c r="A4" s="112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8">
      <c r="A5" s="123"/>
      <c r="B5" s="120" t="s">
        <v>269</v>
      </c>
      <c r="C5" s="110"/>
      <c r="D5" s="110"/>
      <c r="E5" s="110"/>
      <c r="F5" s="110"/>
      <c r="G5" s="110"/>
      <c r="H5" s="110"/>
      <c r="I5" s="110"/>
      <c r="J5" s="110"/>
    </row>
    <row r="6" spans="1:10" ht="3.75" customHeight="1">
      <c r="A6" s="118"/>
      <c r="B6" s="112"/>
      <c r="C6" s="110"/>
      <c r="D6" s="110"/>
      <c r="E6" s="110"/>
      <c r="F6" s="110"/>
      <c r="G6" s="110"/>
      <c r="H6" s="110"/>
      <c r="I6" s="110"/>
      <c r="J6" s="110"/>
    </row>
    <row r="7" spans="1:10" ht="18">
      <c r="A7" s="113"/>
      <c r="B7" s="119" t="s">
        <v>266</v>
      </c>
      <c r="C7" s="110"/>
      <c r="D7" s="110"/>
      <c r="E7" s="110"/>
      <c r="F7" s="110"/>
      <c r="G7" s="110"/>
      <c r="H7" s="110"/>
      <c r="I7" s="110"/>
      <c r="J7" s="110"/>
    </row>
    <row r="8" spans="1:10" ht="3.75" customHeight="1">
      <c r="A8" s="117"/>
      <c r="B8" s="114"/>
      <c r="C8" s="110"/>
      <c r="D8" s="110"/>
      <c r="E8" s="110"/>
      <c r="F8" s="110"/>
      <c r="G8" s="110"/>
      <c r="H8" s="110"/>
      <c r="I8" s="110"/>
      <c r="J8" s="110"/>
    </row>
    <row r="9" spans="1:10" ht="18">
      <c r="A9" s="115"/>
      <c r="B9" s="119" t="s">
        <v>267</v>
      </c>
      <c r="C9" s="110"/>
      <c r="D9" s="110"/>
      <c r="E9" s="110"/>
      <c r="F9" s="110"/>
      <c r="G9" s="110"/>
      <c r="H9" s="110"/>
      <c r="I9" s="110"/>
      <c r="J9" s="110"/>
    </row>
    <row r="10" spans="1:10" ht="3.75" customHeight="1">
      <c r="A10" s="118"/>
      <c r="B10" s="114"/>
      <c r="C10" s="110"/>
      <c r="D10" s="110"/>
      <c r="E10" s="110"/>
      <c r="F10" s="110"/>
      <c r="G10" s="110"/>
      <c r="H10" s="110"/>
      <c r="I10" s="110"/>
      <c r="J10" s="110"/>
    </row>
    <row r="11" spans="1:10" ht="18">
      <c r="A11" s="116"/>
      <c r="B11" s="119" t="s">
        <v>270</v>
      </c>
      <c r="C11" s="110"/>
      <c r="D11" s="110"/>
      <c r="E11" s="110"/>
      <c r="F11" s="110"/>
      <c r="G11" s="110"/>
      <c r="H11" s="110"/>
      <c r="I11" s="110"/>
      <c r="J11" s="110"/>
    </row>
    <row r="12" spans="1:10" ht="13.5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.75">
      <c r="A13" s="265" t="s">
        <v>81</v>
      </c>
      <c r="B13" s="266"/>
      <c r="C13" s="266"/>
      <c r="D13" s="266"/>
      <c r="E13" s="266"/>
      <c r="F13" s="266"/>
      <c r="G13" s="266"/>
      <c r="H13" s="266"/>
      <c r="I13" s="266"/>
      <c r="J13" s="267"/>
    </row>
    <row r="14" spans="1:10" ht="76.5" customHeight="1">
      <c r="A14" s="274" t="s">
        <v>74</v>
      </c>
      <c r="B14" s="35" t="s">
        <v>75</v>
      </c>
      <c r="C14" s="278" t="s">
        <v>80</v>
      </c>
      <c r="D14" s="279"/>
      <c r="E14" s="57" t="s">
        <v>213</v>
      </c>
      <c r="F14" s="35" t="s">
        <v>228</v>
      </c>
      <c r="G14" s="57" t="s">
        <v>214</v>
      </c>
      <c r="H14" s="35" t="s">
        <v>208</v>
      </c>
      <c r="I14" s="57" t="s">
        <v>77</v>
      </c>
      <c r="J14" s="58" t="s">
        <v>77</v>
      </c>
    </row>
    <row r="15" spans="1:10" ht="13.5" thickBot="1">
      <c r="A15" s="275"/>
      <c r="B15" s="36" t="s">
        <v>79</v>
      </c>
      <c r="C15" s="39" t="s">
        <v>78</v>
      </c>
      <c r="D15" s="40" t="s">
        <v>79</v>
      </c>
      <c r="E15" s="36"/>
      <c r="F15" s="36"/>
      <c r="G15" s="36"/>
      <c r="H15" s="63" t="s">
        <v>79</v>
      </c>
      <c r="I15" s="36" t="s">
        <v>78</v>
      </c>
      <c r="J15" s="83" t="s">
        <v>79</v>
      </c>
    </row>
    <row r="16" spans="1:10" ht="12.75">
      <c r="A16" s="247" t="s">
        <v>69</v>
      </c>
      <c r="B16" s="245">
        <v>8524</v>
      </c>
      <c r="C16" s="283">
        <f>'allegato B'!D16</f>
        <v>0.27</v>
      </c>
      <c r="D16" s="280">
        <f>B26*C16</f>
        <v>28098.9</v>
      </c>
      <c r="E16" s="70" t="s">
        <v>197</v>
      </c>
      <c r="F16" s="70"/>
      <c r="G16" s="71">
        <v>1</v>
      </c>
      <c r="H16" s="103">
        <f aca="true" t="shared" si="0" ref="H16:H25">F16*G16</f>
        <v>0</v>
      </c>
      <c r="I16" s="235">
        <f>1-(H16+H17)/B16</f>
        <v>1</v>
      </c>
      <c r="J16" s="276">
        <f>B16*I16</f>
        <v>8524</v>
      </c>
    </row>
    <row r="17" spans="1:10" ht="13.5" thickBot="1">
      <c r="A17" s="248"/>
      <c r="B17" s="246"/>
      <c r="C17" s="283"/>
      <c r="D17" s="280"/>
      <c r="E17" s="74" t="s">
        <v>197</v>
      </c>
      <c r="F17" s="74"/>
      <c r="G17" s="73">
        <v>1</v>
      </c>
      <c r="H17" s="104">
        <f t="shared" si="0"/>
        <v>0</v>
      </c>
      <c r="I17" s="236"/>
      <c r="J17" s="277"/>
    </row>
    <row r="18" spans="1:10" ht="12.75">
      <c r="A18" s="247" t="s">
        <v>70</v>
      </c>
      <c r="B18" s="245">
        <v>13148</v>
      </c>
      <c r="C18" s="284"/>
      <c r="D18" s="281"/>
      <c r="E18" s="70" t="s">
        <v>197</v>
      </c>
      <c r="F18" s="70"/>
      <c r="G18" s="71">
        <v>1</v>
      </c>
      <c r="H18" s="103">
        <f t="shared" si="0"/>
        <v>0</v>
      </c>
      <c r="I18" s="235">
        <f>1-(H18+H19)/B18</f>
        <v>1</v>
      </c>
      <c r="J18" s="276">
        <f>B18*I18</f>
        <v>13148</v>
      </c>
    </row>
    <row r="19" spans="1:10" ht="13.5" thickBot="1">
      <c r="A19" s="248"/>
      <c r="B19" s="246"/>
      <c r="C19" s="284"/>
      <c r="D19" s="281"/>
      <c r="E19" s="74" t="s">
        <v>197</v>
      </c>
      <c r="F19" s="72"/>
      <c r="G19" s="73">
        <v>1</v>
      </c>
      <c r="H19" s="104">
        <f t="shared" si="0"/>
        <v>0</v>
      </c>
      <c r="I19" s="236"/>
      <c r="J19" s="277"/>
    </row>
    <row r="20" spans="1:10" ht="12.75">
      <c r="A20" s="247" t="s">
        <v>71</v>
      </c>
      <c r="B20" s="245">
        <v>36720</v>
      </c>
      <c r="C20" s="284"/>
      <c r="D20" s="281"/>
      <c r="E20" s="70" t="s">
        <v>197</v>
      </c>
      <c r="F20" s="70"/>
      <c r="G20" s="71">
        <v>1</v>
      </c>
      <c r="H20" s="103">
        <f t="shared" si="0"/>
        <v>0</v>
      </c>
      <c r="I20" s="235">
        <f>1-(H20+H21)/B20</f>
        <v>1</v>
      </c>
      <c r="J20" s="276">
        <f>B20*I20</f>
        <v>36720</v>
      </c>
    </row>
    <row r="21" spans="1:10" ht="13.5" thickBot="1">
      <c r="A21" s="248"/>
      <c r="B21" s="246"/>
      <c r="C21" s="284"/>
      <c r="D21" s="281"/>
      <c r="E21" s="74" t="s">
        <v>197</v>
      </c>
      <c r="F21" s="72"/>
      <c r="G21" s="73">
        <v>1</v>
      </c>
      <c r="H21" s="104">
        <f t="shared" si="0"/>
        <v>0</v>
      </c>
      <c r="I21" s="236"/>
      <c r="J21" s="277"/>
    </row>
    <row r="22" spans="1:10" ht="12.75">
      <c r="A22" s="247" t="s">
        <v>72</v>
      </c>
      <c r="B22" s="245">
        <v>19740</v>
      </c>
      <c r="C22" s="284"/>
      <c r="D22" s="281"/>
      <c r="E22" s="70" t="s">
        <v>197</v>
      </c>
      <c r="F22" s="70"/>
      <c r="G22" s="71">
        <v>1</v>
      </c>
      <c r="H22" s="103">
        <f t="shared" si="0"/>
        <v>0</v>
      </c>
      <c r="I22" s="235">
        <f>1-(H22+H23)/B22</f>
        <v>1</v>
      </c>
      <c r="J22" s="276">
        <f>B22*I22</f>
        <v>19740</v>
      </c>
    </row>
    <row r="23" spans="1:10" ht="13.5" thickBot="1">
      <c r="A23" s="248"/>
      <c r="B23" s="246"/>
      <c r="C23" s="284"/>
      <c r="D23" s="281"/>
      <c r="E23" s="74" t="s">
        <v>197</v>
      </c>
      <c r="F23" s="72"/>
      <c r="G23" s="73">
        <v>1</v>
      </c>
      <c r="H23" s="104">
        <f t="shared" si="0"/>
        <v>0</v>
      </c>
      <c r="I23" s="236"/>
      <c r="J23" s="277"/>
    </row>
    <row r="24" spans="1:10" ht="12.75">
      <c r="A24" s="247" t="s">
        <v>73</v>
      </c>
      <c r="B24" s="245">
        <v>25938</v>
      </c>
      <c r="C24" s="284"/>
      <c r="D24" s="281"/>
      <c r="E24" s="70" t="s">
        <v>197</v>
      </c>
      <c r="F24" s="70"/>
      <c r="G24" s="71">
        <v>1</v>
      </c>
      <c r="H24" s="103">
        <f t="shared" si="0"/>
        <v>0</v>
      </c>
      <c r="I24" s="235">
        <f>1-(H24+H25)/B24</f>
        <v>1</v>
      </c>
      <c r="J24" s="276">
        <f>B24*I24</f>
        <v>25938</v>
      </c>
    </row>
    <row r="25" spans="1:10" ht="13.5" thickBot="1">
      <c r="A25" s="248"/>
      <c r="B25" s="246"/>
      <c r="C25" s="284"/>
      <c r="D25" s="281"/>
      <c r="E25" s="74" t="s">
        <v>197</v>
      </c>
      <c r="F25" s="72"/>
      <c r="G25" s="73">
        <v>1</v>
      </c>
      <c r="H25" s="104">
        <f t="shared" si="0"/>
        <v>0</v>
      </c>
      <c r="I25" s="236"/>
      <c r="J25" s="277"/>
    </row>
    <row r="26" spans="1:14" ht="12.75">
      <c r="A26" s="60" t="s">
        <v>76</v>
      </c>
      <c r="B26" s="61">
        <f>SUM(B16:B24)</f>
        <v>104070</v>
      </c>
      <c r="C26" s="285"/>
      <c r="D26" s="281"/>
      <c r="E26" s="61"/>
      <c r="F26" s="61"/>
      <c r="G26" s="62"/>
      <c r="H26" s="61"/>
      <c r="I26" s="105">
        <f>J26/B26</f>
        <v>1</v>
      </c>
      <c r="J26" s="84">
        <f>SUM(J16:J25)</f>
        <v>104070</v>
      </c>
      <c r="K26" s="31"/>
      <c r="M26" s="33"/>
      <c r="N26" s="33"/>
    </row>
    <row r="27" spans="1:10" ht="13.5" thickBot="1">
      <c r="A27" s="262" t="str">
        <f>IF((J26/B26)&lt;C16,"OFFERTA NON VALIDA!!!*","OFFERTA VALIDA*")</f>
        <v>OFFERTA VALIDA*</v>
      </c>
      <c r="B27" s="263"/>
      <c r="C27" s="263"/>
      <c r="D27" s="263"/>
      <c r="E27" s="263"/>
      <c r="F27" s="263"/>
      <c r="G27" s="263"/>
      <c r="H27" s="263"/>
      <c r="I27" s="263"/>
      <c r="J27" s="264"/>
    </row>
    <row r="28" spans="1:10" ht="12.7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3.5" thickBot="1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.75">
      <c r="A30" s="265" t="s">
        <v>82</v>
      </c>
      <c r="B30" s="266"/>
      <c r="C30" s="266"/>
      <c r="D30" s="266"/>
      <c r="E30" s="266"/>
      <c r="F30" s="266"/>
      <c r="G30" s="266"/>
      <c r="H30" s="266"/>
      <c r="I30" s="266"/>
      <c r="J30" s="267"/>
    </row>
    <row r="31" spans="1:10" ht="76.5">
      <c r="A31" s="274" t="s">
        <v>74</v>
      </c>
      <c r="B31" s="35" t="s">
        <v>75</v>
      </c>
      <c r="C31" s="278" t="s">
        <v>80</v>
      </c>
      <c r="D31" s="279"/>
      <c r="E31" s="57" t="s">
        <v>213</v>
      </c>
      <c r="F31" s="35" t="s">
        <v>207</v>
      </c>
      <c r="G31" s="57" t="s">
        <v>227</v>
      </c>
      <c r="H31" s="35" t="s">
        <v>208</v>
      </c>
      <c r="I31" s="57" t="s">
        <v>77</v>
      </c>
      <c r="J31" s="58" t="s">
        <v>77</v>
      </c>
    </row>
    <row r="32" spans="1:10" ht="13.5" thickBot="1">
      <c r="A32" s="288"/>
      <c r="B32" s="46" t="s">
        <v>79</v>
      </c>
      <c r="C32" s="39" t="s">
        <v>78</v>
      </c>
      <c r="D32" s="40" t="s">
        <v>79</v>
      </c>
      <c r="E32" s="46"/>
      <c r="F32" s="63" t="s">
        <v>212</v>
      </c>
      <c r="G32" s="46"/>
      <c r="H32" s="63" t="s">
        <v>79</v>
      </c>
      <c r="I32" s="46" t="s">
        <v>78</v>
      </c>
      <c r="J32" s="85" t="s">
        <v>79</v>
      </c>
    </row>
    <row r="33" spans="1:10" ht="12.75">
      <c r="A33" s="270" t="s">
        <v>83</v>
      </c>
      <c r="B33" s="245">
        <v>13238</v>
      </c>
      <c r="C33" s="289">
        <f>'allegato B'!D17</f>
        <v>0.19</v>
      </c>
      <c r="D33" s="291">
        <f>B35*C33</f>
        <v>2515.2200000000003</v>
      </c>
      <c r="E33" s="70" t="s">
        <v>197</v>
      </c>
      <c r="F33" s="70"/>
      <c r="G33" s="71">
        <v>1</v>
      </c>
      <c r="H33" s="103">
        <f>F33*G33</f>
        <v>0</v>
      </c>
      <c r="I33" s="235">
        <f>1-(H33+H34)/B33</f>
        <v>1</v>
      </c>
      <c r="J33" s="276">
        <f>B33*I33</f>
        <v>13238</v>
      </c>
    </row>
    <row r="34" spans="1:10" ht="13.5" thickBot="1">
      <c r="A34" s="271"/>
      <c r="B34" s="246"/>
      <c r="C34" s="290"/>
      <c r="D34" s="292"/>
      <c r="E34" s="72" t="s">
        <v>197</v>
      </c>
      <c r="F34" s="72"/>
      <c r="G34" s="73">
        <v>1</v>
      </c>
      <c r="H34" s="104">
        <f>F34*G34</f>
        <v>0</v>
      </c>
      <c r="I34" s="236"/>
      <c r="J34" s="277"/>
    </row>
    <row r="35" spans="1:10" ht="12.75">
      <c r="A35" s="60" t="s">
        <v>76</v>
      </c>
      <c r="B35" s="61">
        <f>SUM(B33:B33)</f>
        <v>13238</v>
      </c>
      <c r="C35" s="287"/>
      <c r="D35" s="280"/>
      <c r="E35" s="61"/>
      <c r="F35" s="61"/>
      <c r="G35" s="61"/>
      <c r="H35" s="61"/>
      <c r="I35" s="105">
        <f>J35/B35</f>
        <v>1</v>
      </c>
      <c r="J35" s="84">
        <f>SUM(J33:J34)</f>
        <v>13238</v>
      </c>
    </row>
    <row r="36" spans="1:10" ht="13.5" thickBot="1">
      <c r="A36" s="268" t="str">
        <f>IF(I35&lt;C33,"OFFERTA NON VALIDA!!!*","OFFERTA VALIDA*")</f>
        <v>OFFERTA VALIDA*</v>
      </c>
      <c r="B36" s="269"/>
      <c r="C36" s="269"/>
      <c r="D36" s="269"/>
      <c r="E36" s="269"/>
      <c r="F36" s="269"/>
      <c r="G36" s="269"/>
      <c r="H36" s="269"/>
      <c r="I36" s="269"/>
      <c r="J36" s="237"/>
    </row>
    <row r="37" spans="1:10" ht="13.5" thickBot="1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.75">
      <c r="A38" s="265" t="s">
        <v>84</v>
      </c>
      <c r="B38" s="266"/>
      <c r="C38" s="266"/>
      <c r="D38" s="266"/>
      <c r="E38" s="266"/>
      <c r="F38" s="266"/>
      <c r="G38" s="266"/>
      <c r="H38" s="266"/>
      <c r="I38" s="266"/>
      <c r="J38" s="267"/>
    </row>
    <row r="39" spans="1:10" ht="76.5">
      <c r="A39" s="274" t="s">
        <v>74</v>
      </c>
      <c r="B39" s="35" t="s">
        <v>75</v>
      </c>
      <c r="C39" s="278" t="s">
        <v>80</v>
      </c>
      <c r="D39" s="279"/>
      <c r="E39" s="57" t="s">
        <v>213</v>
      </c>
      <c r="F39" s="35" t="s">
        <v>228</v>
      </c>
      <c r="G39" s="57" t="s">
        <v>227</v>
      </c>
      <c r="H39" s="35" t="s">
        <v>208</v>
      </c>
      <c r="I39" s="57" t="s">
        <v>77</v>
      </c>
      <c r="J39" s="58" t="s">
        <v>77</v>
      </c>
    </row>
    <row r="40" spans="1:10" ht="13.5" thickBot="1">
      <c r="A40" s="275"/>
      <c r="B40" s="36" t="s">
        <v>79</v>
      </c>
      <c r="C40" s="39" t="s">
        <v>78</v>
      </c>
      <c r="D40" s="40" t="s">
        <v>79</v>
      </c>
      <c r="E40" s="46"/>
      <c r="F40" s="63" t="s">
        <v>212</v>
      </c>
      <c r="G40" s="46"/>
      <c r="H40" s="63" t="s">
        <v>79</v>
      </c>
      <c r="I40" s="36" t="s">
        <v>78</v>
      </c>
      <c r="J40" s="83" t="s">
        <v>79</v>
      </c>
    </row>
    <row r="41" spans="1:10" ht="12.75">
      <c r="A41" s="247" t="s">
        <v>85</v>
      </c>
      <c r="B41" s="245">
        <v>70993</v>
      </c>
      <c r="C41" s="283">
        <f>'allegato B'!D18</f>
        <v>0.13</v>
      </c>
      <c r="D41" s="280">
        <f>B49*C41</f>
        <v>27692.600000000002</v>
      </c>
      <c r="E41" s="70" t="s">
        <v>197</v>
      </c>
      <c r="F41" s="70"/>
      <c r="G41" s="71">
        <v>1</v>
      </c>
      <c r="H41" s="103">
        <f aca="true" t="shared" si="1" ref="H41:H48">F41*G41</f>
        <v>0</v>
      </c>
      <c r="I41" s="235">
        <f>1-(H41+H42)/B41</f>
        <v>1</v>
      </c>
      <c r="J41" s="276">
        <f aca="true" t="shared" si="2" ref="J41:J47">B41*I41</f>
        <v>70993</v>
      </c>
    </row>
    <row r="42" spans="1:10" ht="13.5" thickBot="1">
      <c r="A42" s="248"/>
      <c r="B42" s="246"/>
      <c r="C42" s="283"/>
      <c r="D42" s="280"/>
      <c r="E42" s="72" t="s">
        <v>197</v>
      </c>
      <c r="F42" s="72"/>
      <c r="G42" s="73">
        <v>1</v>
      </c>
      <c r="H42" s="104">
        <f t="shared" si="1"/>
        <v>0</v>
      </c>
      <c r="I42" s="236"/>
      <c r="J42" s="277"/>
    </row>
    <row r="43" spans="1:10" ht="12.75">
      <c r="A43" s="247" t="s">
        <v>86</v>
      </c>
      <c r="B43" s="245">
        <v>6393</v>
      </c>
      <c r="C43" s="284"/>
      <c r="D43" s="281"/>
      <c r="E43" s="70" t="s">
        <v>197</v>
      </c>
      <c r="F43" s="70"/>
      <c r="G43" s="71">
        <v>1</v>
      </c>
      <c r="H43" s="103">
        <f t="shared" si="1"/>
        <v>0</v>
      </c>
      <c r="I43" s="235">
        <f>1-(H43+H44)/B43</f>
        <v>1</v>
      </c>
      <c r="J43" s="276">
        <f t="shared" si="2"/>
        <v>6393</v>
      </c>
    </row>
    <row r="44" spans="1:10" ht="13.5" thickBot="1">
      <c r="A44" s="248"/>
      <c r="B44" s="246"/>
      <c r="C44" s="284"/>
      <c r="D44" s="281"/>
      <c r="E44" s="72" t="s">
        <v>197</v>
      </c>
      <c r="F44" s="72"/>
      <c r="G44" s="73">
        <v>1</v>
      </c>
      <c r="H44" s="104">
        <f t="shared" si="1"/>
        <v>0</v>
      </c>
      <c r="I44" s="236"/>
      <c r="J44" s="277"/>
    </row>
    <row r="45" spans="1:10" ht="12.75">
      <c r="A45" s="247" t="s">
        <v>87</v>
      </c>
      <c r="B45" s="245">
        <v>75583</v>
      </c>
      <c r="C45" s="284"/>
      <c r="D45" s="281"/>
      <c r="E45" s="70" t="s">
        <v>197</v>
      </c>
      <c r="F45" s="70"/>
      <c r="G45" s="71">
        <v>1</v>
      </c>
      <c r="H45" s="103">
        <f t="shared" si="1"/>
        <v>0</v>
      </c>
      <c r="I45" s="235">
        <f>1-(H45+H46)/B45</f>
        <v>1</v>
      </c>
      <c r="J45" s="276">
        <f t="shared" si="2"/>
        <v>75583</v>
      </c>
    </row>
    <row r="46" spans="1:10" ht="13.5" thickBot="1">
      <c r="A46" s="248"/>
      <c r="B46" s="246"/>
      <c r="C46" s="284"/>
      <c r="D46" s="281"/>
      <c r="E46" s="72" t="s">
        <v>197</v>
      </c>
      <c r="F46" s="72"/>
      <c r="G46" s="73">
        <v>1</v>
      </c>
      <c r="H46" s="104">
        <f t="shared" si="1"/>
        <v>0</v>
      </c>
      <c r="I46" s="236"/>
      <c r="J46" s="277"/>
    </row>
    <row r="47" spans="1:10" ht="12.75">
      <c r="A47" s="247" t="s">
        <v>88</v>
      </c>
      <c r="B47" s="245">
        <v>60051</v>
      </c>
      <c r="C47" s="284"/>
      <c r="D47" s="281"/>
      <c r="E47" s="70" t="s">
        <v>197</v>
      </c>
      <c r="F47" s="70"/>
      <c r="G47" s="71">
        <v>1</v>
      </c>
      <c r="H47" s="103">
        <f t="shared" si="1"/>
        <v>0</v>
      </c>
      <c r="I47" s="235">
        <f>1-(H47+H48)/B47</f>
        <v>1</v>
      </c>
      <c r="J47" s="276">
        <f t="shared" si="2"/>
        <v>60051</v>
      </c>
    </row>
    <row r="48" spans="1:10" ht="13.5" thickBot="1">
      <c r="A48" s="248"/>
      <c r="B48" s="246"/>
      <c r="C48" s="284"/>
      <c r="D48" s="281"/>
      <c r="E48" s="72" t="s">
        <v>197</v>
      </c>
      <c r="F48" s="72"/>
      <c r="G48" s="73">
        <v>1</v>
      </c>
      <c r="H48" s="104">
        <f t="shared" si="1"/>
        <v>0</v>
      </c>
      <c r="I48" s="236"/>
      <c r="J48" s="277"/>
    </row>
    <row r="49" spans="1:10" ht="12.75">
      <c r="A49" s="60" t="s">
        <v>76</v>
      </c>
      <c r="B49" s="61">
        <f>SUM(B41:B47)</f>
        <v>213020</v>
      </c>
      <c r="C49" s="285"/>
      <c r="D49" s="281"/>
      <c r="E49" s="61"/>
      <c r="F49" s="61"/>
      <c r="G49" s="61"/>
      <c r="H49" s="61"/>
      <c r="I49" s="105">
        <f>J49/B49</f>
        <v>1</v>
      </c>
      <c r="J49" s="84">
        <f>SUM(J41:J48)</f>
        <v>213020</v>
      </c>
    </row>
    <row r="50" spans="1:10" ht="13.5" thickBot="1">
      <c r="A50" s="262" t="str">
        <f>IF(I49&lt;C41,"OFFERTA NON VALIDA!!!*","OFFERTA VALIDA*")</f>
        <v>OFFERTA VALIDA*</v>
      </c>
      <c r="B50" s="263"/>
      <c r="C50" s="263"/>
      <c r="D50" s="263"/>
      <c r="E50" s="263"/>
      <c r="F50" s="263"/>
      <c r="G50" s="263"/>
      <c r="H50" s="263"/>
      <c r="I50" s="263"/>
      <c r="J50" s="264"/>
    </row>
    <row r="51" spans="1:10" ht="13.5" thickBot="1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.75">
      <c r="A52" s="265" t="s">
        <v>89</v>
      </c>
      <c r="B52" s="266"/>
      <c r="C52" s="266"/>
      <c r="D52" s="266"/>
      <c r="E52" s="266"/>
      <c r="F52" s="266"/>
      <c r="G52" s="266"/>
      <c r="H52" s="266"/>
      <c r="I52" s="266"/>
      <c r="J52" s="267"/>
    </row>
    <row r="53" spans="1:10" ht="76.5">
      <c r="A53" s="274" t="s">
        <v>74</v>
      </c>
      <c r="B53" s="35" t="s">
        <v>75</v>
      </c>
      <c r="C53" s="278" t="s">
        <v>80</v>
      </c>
      <c r="D53" s="279"/>
      <c r="E53" s="57" t="s">
        <v>213</v>
      </c>
      <c r="F53" s="35" t="s">
        <v>228</v>
      </c>
      <c r="G53" s="57" t="s">
        <v>227</v>
      </c>
      <c r="H53" s="35" t="s">
        <v>208</v>
      </c>
      <c r="I53" s="57" t="s">
        <v>77</v>
      </c>
      <c r="J53" s="58" t="s">
        <v>77</v>
      </c>
    </row>
    <row r="54" spans="1:10" ht="13.5" thickBot="1">
      <c r="A54" s="275"/>
      <c r="B54" s="36" t="s">
        <v>79</v>
      </c>
      <c r="C54" s="39" t="s">
        <v>78</v>
      </c>
      <c r="D54" s="40" t="s">
        <v>79</v>
      </c>
      <c r="E54" s="36"/>
      <c r="F54" s="36"/>
      <c r="G54" s="36"/>
      <c r="H54" s="63" t="s">
        <v>79</v>
      </c>
      <c r="I54" s="36" t="s">
        <v>78</v>
      </c>
      <c r="J54" s="83" t="s">
        <v>79</v>
      </c>
    </row>
    <row r="55" spans="1:10" ht="12.75">
      <c r="A55" s="247" t="s">
        <v>90</v>
      </c>
      <c r="B55" s="245">
        <v>14653</v>
      </c>
      <c r="C55" s="283">
        <f>'allegato B'!D19</f>
        <v>0.245</v>
      </c>
      <c r="D55" s="280">
        <f>B61*C55</f>
        <v>17316.845</v>
      </c>
      <c r="E55" s="70" t="s">
        <v>197</v>
      </c>
      <c r="F55" s="70"/>
      <c r="G55" s="71">
        <v>1</v>
      </c>
      <c r="H55" s="103">
        <f aca="true" t="shared" si="3" ref="H55:H60">F55*G55</f>
        <v>0</v>
      </c>
      <c r="I55" s="235">
        <f>1-(H55+H56)/B55</f>
        <v>1</v>
      </c>
      <c r="J55" s="276">
        <f>B55*I55</f>
        <v>14653</v>
      </c>
    </row>
    <row r="56" spans="1:10" ht="13.5" thickBot="1">
      <c r="A56" s="248"/>
      <c r="B56" s="246"/>
      <c r="C56" s="283"/>
      <c r="D56" s="280"/>
      <c r="E56" s="72" t="s">
        <v>197</v>
      </c>
      <c r="F56" s="72"/>
      <c r="G56" s="73">
        <v>1</v>
      </c>
      <c r="H56" s="104">
        <f t="shared" si="3"/>
        <v>0</v>
      </c>
      <c r="I56" s="236"/>
      <c r="J56" s="277"/>
    </row>
    <row r="57" spans="1:10" ht="12.75">
      <c r="A57" s="247" t="s">
        <v>91</v>
      </c>
      <c r="B57" s="245">
        <v>40626</v>
      </c>
      <c r="C57" s="284"/>
      <c r="D57" s="281"/>
      <c r="E57" s="70" t="s">
        <v>197</v>
      </c>
      <c r="F57" s="70"/>
      <c r="G57" s="71">
        <v>1</v>
      </c>
      <c r="H57" s="103">
        <f t="shared" si="3"/>
        <v>0</v>
      </c>
      <c r="I57" s="235">
        <f>1-(H57+H58)/B57</f>
        <v>1</v>
      </c>
      <c r="J57" s="276">
        <f>B57*I57</f>
        <v>40626</v>
      </c>
    </row>
    <row r="58" spans="1:10" ht="13.5" thickBot="1">
      <c r="A58" s="248"/>
      <c r="B58" s="246"/>
      <c r="C58" s="284"/>
      <c r="D58" s="281"/>
      <c r="E58" s="72" t="s">
        <v>197</v>
      </c>
      <c r="F58" s="72"/>
      <c r="G58" s="73">
        <v>1</v>
      </c>
      <c r="H58" s="104">
        <f t="shared" si="3"/>
        <v>0</v>
      </c>
      <c r="I58" s="236"/>
      <c r="J58" s="277"/>
    </row>
    <row r="59" spans="1:10" ht="12.75">
      <c r="A59" s="247" t="s">
        <v>92</v>
      </c>
      <c r="B59" s="245">
        <v>15402</v>
      </c>
      <c r="C59" s="284"/>
      <c r="D59" s="281"/>
      <c r="E59" s="70" t="s">
        <v>197</v>
      </c>
      <c r="F59" s="70"/>
      <c r="G59" s="71">
        <v>1</v>
      </c>
      <c r="H59" s="103">
        <f t="shared" si="3"/>
        <v>0</v>
      </c>
      <c r="I59" s="235">
        <f>1-(H59+H60)/B59</f>
        <v>1</v>
      </c>
      <c r="J59" s="276">
        <f>B59*I59</f>
        <v>15402</v>
      </c>
    </row>
    <row r="60" spans="1:10" ht="13.5" thickBot="1">
      <c r="A60" s="248"/>
      <c r="B60" s="246"/>
      <c r="C60" s="284"/>
      <c r="D60" s="281"/>
      <c r="E60" s="72" t="s">
        <v>197</v>
      </c>
      <c r="F60" s="72"/>
      <c r="G60" s="73">
        <v>1</v>
      </c>
      <c r="H60" s="104">
        <f t="shared" si="3"/>
        <v>0</v>
      </c>
      <c r="I60" s="236"/>
      <c r="J60" s="277"/>
    </row>
    <row r="61" spans="1:10" ht="13.5" thickBot="1">
      <c r="A61" s="86" t="s">
        <v>76</v>
      </c>
      <c r="B61" s="87">
        <f>SUM(B55:B59)</f>
        <v>70681</v>
      </c>
      <c r="C61" s="286"/>
      <c r="D61" s="282"/>
      <c r="E61" s="87"/>
      <c r="F61" s="87"/>
      <c r="G61" s="87"/>
      <c r="H61" s="87"/>
      <c r="I61" s="106">
        <f>J61/B61</f>
        <v>1</v>
      </c>
      <c r="J61" s="88">
        <f>SUM(J55:J60)</f>
        <v>70681</v>
      </c>
    </row>
    <row r="62" spans="1:10" ht="13.5" thickBot="1">
      <c r="A62" s="272" t="str">
        <f>IF(I61&lt;C55,"OFFERTA NON VALIDA!!!*","OFFERTA VALIDA*")</f>
        <v>OFFERTA VALIDA*</v>
      </c>
      <c r="B62" s="273"/>
      <c r="C62" s="273"/>
      <c r="D62" s="273"/>
      <c r="E62" s="273"/>
      <c r="F62" s="273"/>
      <c r="G62" s="273"/>
      <c r="H62" s="273"/>
      <c r="I62" s="273"/>
      <c r="J62" s="273"/>
    </row>
    <row r="63" spans="1:10" ht="13.5" thickBot="1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.75">
      <c r="A64" s="265" t="s">
        <v>93</v>
      </c>
      <c r="B64" s="266"/>
      <c r="C64" s="266"/>
      <c r="D64" s="266"/>
      <c r="E64" s="266"/>
      <c r="F64" s="266"/>
      <c r="G64" s="266"/>
      <c r="H64" s="266"/>
      <c r="I64" s="266"/>
      <c r="J64" s="267"/>
    </row>
    <row r="65" spans="1:10" ht="76.5">
      <c r="A65" s="274" t="s">
        <v>74</v>
      </c>
      <c r="B65" s="35" t="s">
        <v>75</v>
      </c>
      <c r="C65" s="278" t="s">
        <v>80</v>
      </c>
      <c r="D65" s="279"/>
      <c r="E65" s="57" t="s">
        <v>213</v>
      </c>
      <c r="F65" s="35" t="s">
        <v>228</v>
      </c>
      <c r="G65" s="57" t="s">
        <v>227</v>
      </c>
      <c r="H65" s="35" t="s">
        <v>208</v>
      </c>
      <c r="I65" s="57" t="s">
        <v>77</v>
      </c>
      <c r="J65" s="58" t="s">
        <v>77</v>
      </c>
    </row>
    <row r="66" spans="1:10" ht="13.5" thickBot="1">
      <c r="A66" s="275"/>
      <c r="B66" s="36" t="s">
        <v>79</v>
      </c>
      <c r="C66" s="39" t="s">
        <v>78</v>
      </c>
      <c r="D66" s="40" t="s">
        <v>79</v>
      </c>
      <c r="E66" s="36"/>
      <c r="F66" s="36"/>
      <c r="G66" s="36"/>
      <c r="H66" s="36"/>
      <c r="I66" s="36" t="s">
        <v>78</v>
      </c>
      <c r="J66" s="83" t="s">
        <v>79</v>
      </c>
    </row>
    <row r="67" spans="1:10" ht="12.75">
      <c r="A67" s="247" t="s">
        <v>94</v>
      </c>
      <c r="B67" s="245">
        <v>23887</v>
      </c>
      <c r="C67" s="287">
        <f>'allegato B'!D20</f>
        <v>0.4</v>
      </c>
      <c r="D67" s="280">
        <f>B77*C67</f>
        <v>48173.600000000006</v>
      </c>
      <c r="E67" s="70" t="s">
        <v>197</v>
      </c>
      <c r="F67" s="70"/>
      <c r="G67" s="71">
        <v>1</v>
      </c>
      <c r="H67" s="103">
        <f aca="true" t="shared" si="4" ref="H67:H75">F67*G67</f>
        <v>0</v>
      </c>
      <c r="I67" s="235">
        <f>1-(H67+H68)/B67</f>
        <v>1</v>
      </c>
      <c r="J67" s="276">
        <f aca="true" t="shared" si="5" ref="J67:J75">B67*I67</f>
        <v>23887</v>
      </c>
    </row>
    <row r="68" spans="1:10" ht="13.5" thickBot="1">
      <c r="A68" s="248"/>
      <c r="B68" s="246"/>
      <c r="C68" s="287"/>
      <c r="D68" s="280"/>
      <c r="E68" s="72" t="s">
        <v>197</v>
      </c>
      <c r="F68" s="72"/>
      <c r="G68" s="73">
        <v>1</v>
      </c>
      <c r="H68" s="104">
        <f t="shared" si="4"/>
        <v>0</v>
      </c>
      <c r="I68" s="236"/>
      <c r="J68" s="277"/>
    </row>
    <row r="69" spans="1:10" ht="12.75">
      <c r="A69" s="247" t="s">
        <v>95</v>
      </c>
      <c r="B69" s="245">
        <v>10103</v>
      </c>
      <c r="C69" s="285"/>
      <c r="D69" s="281"/>
      <c r="E69" s="70" t="s">
        <v>197</v>
      </c>
      <c r="F69" s="70"/>
      <c r="G69" s="71">
        <v>1</v>
      </c>
      <c r="H69" s="103">
        <f t="shared" si="4"/>
        <v>0</v>
      </c>
      <c r="I69" s="235">
        <f>1-(H69+H70)/B69</f>
        <v>1</v>
      </c>
      <c r="J69" s="276">
        <f t="shared" si="5"/>
        <v>10103</v>
      </c>
    </row>
    <row r="70" spans="1:10" ht="13.5" thickBot="1">
      <c r="A70" s="248"/>
      <c r="B70" s="246"/>
      <c r="C70" s="285"/>
      <c r="D70" s="281"/>
      <c r="E70" s="72" t="s">
        <v>197</v>
      </c>
      <c r="F70" s="72"/>
      <c r="G70" s="73">
        <v>1</v>
      </c>
      <c r="H70" s="104">
        <f t="shared" si="4"/>
        <v>0</v>
      </c>
      <c r="I70" s="236"/>
      <c r="J70" s="277"/>
    </row>
    <row r="71" spans="1:10" ht="12.75">
      <c r="A71" s="247" t="s">
        <v>96</v>
      </c>
      <c r="B71" s="245">
        <v>16889</v>
      </c>
      <c r="C71" s="285"/>
      <c r="D71" s="281"/>
      <c r="E71" s="70" t="s">
        <v>197</v>
      </c>
      <c r="F71" s="70"/>
      <c r="G71" s="71">
        <v>1</v>
      </c>
      <c r="H71" s="103">
        <f t="shared" si="4"/>
        <v>0</v>
      </c>
      <c r="I71" s="235">
        <f>1-(H71+H72)/B71</f>
        <v>1</v>
      </c>
      <c r="J71" s="276">
        <f t="shared" si="5"/>
        <v>16889</v>
      </c>
    </row>
    <row r="72" spans="1:10" ht="13.5" thickBot="1">
      <c r="A72" s="248"/>
      <c r="B72" s="246"/>
      <c r="C72" s="285"/>
      <c r="D72" s="281"/>
      <c r="E72" s="72" t="s">
        <v>197</v>
      </c>
      <c r="F72" s="72"/>
      <c r="G72" s="73">
        <v>1</v>
      </c>
      <c r="H72" s="104">
        <f t="shared" si="4"/>
        <v>0</v>
      </c>
      <c r="I72" s="236"/>
      <c r="J72" s="277"/>
    </row>
    <row r="73" spans="1:10" ht="12.75">
      <c r="A73" s="247" t="s">
        <v>97</v>
      </c>
      <c r="B73" s="245">
        <v>47776</v>
      </c>
      <c r="C73" s="285"/>
      <c r="D73" s="281"/>
      <c r="E73" s="70" t="s">
        <v>197</v>
      </c>
      <c r="F73" s="70"/>
      <c r="G73" s="71">
        <v>1</v>
      </c>
      <c r="H73" s="103">
        <f t="shared" si="4"/>
        <v>0</v>
      </c>
      <c r="I73" s="235">
        <f>1-(H73+H74)/B73</f>
        <v>1</v>
      </c>
      <c r="J73" s="276">
        <f t="shared" si="5"/>
        <v>47776</v>
      </c>
    </row>
    <row r="74" spans="1:10" ht="13.5" thickBot="1">
      <c r="A74" s="248"/>
      <c r="B74" s="246"/>
      <c r="C74" s="285"/>
      <c r="D74" s="281"/>
      <c r="E74" s="72" t="s">
        <v>197</v>
      </c>
      <c r="F74" s="72"/>
      <c r="G74" s="73">
        <v>1</v>
      </c>
      <c r="H74" s="104">
        <f t="shared" si="4"/>
        <v>0</v>
      </c>
      <c r="I74" s="236"/>
      <c r="J74" s="277"/>
    </row>
    <row r="75" spans="1:10" ht="12.75">
      <c r="A75" s="247" t="s">
        <v>98</v>
      </c>
      <c r="B75" s="245">
        <v>21779</v>
      </c>
      <c r="C75" s="285"/>
      <c r="D75" s="281"/>
      <c r="E75" s="70" t="s">
        <v>197</v>
      </c>
      <c r="F75" s="70"/>
      <c r="G75" s="71">
        <v>1</v>
      </c>
      <c r="H75" s="103">
        <f t="shared" si="4"/>
        <v>0</v>
      </c>
      <c r="I75" s="235">
        <f>1-(H75+H76)/B75</f>
        <v>1</v>
      </c>
      <c r="J75" s="276">
        <f t="shared" si="5"/>
        <v>21779</v>
      </c>
    </row>
    <row r="76" spans="1:10" ht="13.5" thickBot="1">
      <c r="A76" s="248"/>
      <c r="B76" s="246"/>
      <c r="C76" s="285"/>
      <c r="D76" s="281"/>
      <c r="E76" s="72" t="s">
        <v>197</v>
      </c>
      <c r="F76" s="72"/>
      <c r="G76" s="73">
        <v>1</v>
      </c>
      <c r="H76" s="104">
        <v>0</v>
      </c>
      <c r="I76" s="236"/>
      <c r="J76" s="277"/>
    </row>
    <row r="77" spans="1:10" ht="12.75">
      <c r="A77" s="38" t="s">
        <v>76</v>
      </c>
      <c r="B77" s="50">
        <f>SUM(B67:B75)</f>
        <v>120434</v>
      </c>
      <c r="C77" s="285"/>
      <c r="D77" s="281"/>
      <c r="E77" s="50"/>
      <c r="F77" s="50"/>
      <c r="G77" s="50"/>
      <c r="H77" s="50"/>
      <c r="I77" s="107">
        <f>J77/B77</f>
        <v>1</v>
      </c>
      <c r="J77" s="89">
        <f>SUM(J67:J76)</f>
        <v>120434</v>
      </c>
    </row>
    <row r="78" spans="1:10" ht="13.5" thickBot="1">
      <c r="A78" s="262" t="str">
        <f>IF(I77&lt;C67,"OFFERTA NON VALIDA!!!*","OFFERTA VALIDA*")</f>
        <v>OFFERTA VALIDA*</v>
      </c>
      <c r="B78" s="263"/>
      <c r="C78" s="263"/>
      <c r="D78" s="263"/>
      <c r="E78" s="263"/>
      <c r="F78" s="263"/>
      <c r="G78" s="263"/>
      <c r="H78" s="263"/>
      <c r="I78" s="263"/>
      <c r="J78" s="264"/>
    </row>
    <row r="79" spans="1:10" ht="12.75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3.5" thickBot="1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3.5" thickBot="1">
      <c r="A81" s="249" t="s">
        <v>100</v>
      </c>
      <c r="B81" s="250"/>
      <c r="C81" s="250"/>
      <c r="D81" s="250"/>
      <c r="E81" s="250"/>
      <c r="F81" s="250"/>
      <c r="G81" s="250"/>
      <c r="H81" s="250"/>
      <c r="I81" s="251"/>
      <c r="J81" s="51">
        <f>B26+B35+B49+B61+B77</f>
        <v>521443</v>
      </c>
    </row>
    <row r="82" spans="1:10" ht="24" thickBot="1">
      <c r="A82" s="252" t="s">
        <v>274</v>
      </c>
      <c r="B82" s="253"/>
      <c r="C82" s="253"/>
      <c r="D82" s="253"/>
      <c r="E82" s="253"/>
      <c r="F82" s="253"/>
      <c r="G82" s="253"/>
      <c r="H82" s="253"/>
      <c r="I82" s="254"/>
      <c r="J82" s="75">
        <f>J77+J61+J49+J35+J26</f>
        <v>521443</v>
      </c>
    </row>
    <row r="83" spans="1:10" ht="19.5" customHeight="1" thickBot="1">
      <c r="A83" s="255" t="s">
        <v>275</v>
      </c>
      <c r="B83" s="256"/>
      <c r="C83" s="256"/>
      <c r="D83" s="256"/>
      <c r="E83" s="256"/>
      <c r="F83" s="256"/>
      <c r="G83" s="256"/>
      <c r="H83" s="256"/>
      <c r="I83" s="257"/>
      <c r="J83" s="82">
        <f>J82/J81</f>
        <v>1</v>
      </c>
    </row>
    <row r="84" spans="1:10" ht="12.75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.75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.75">
      <c r="A86" s="124" t="s">
        <v>101</v>
      </c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.75">
      <c r="A87" s="124" t="s">
        <v>243</v>
      </c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26.25" customHeight="1">
      <c r="A88" s="261" t="s">
        <v>218</v>
      </c>
      <c r="B88" s="261"/>
      <c r="C88" s="261"/>
      <c r="D88" s="261"/>
      <c r="E88" s="261"/>
      <c r="F88" s="261"/>
      <c r="G88" s="261"/>
      <c r="H88" s="261"/>
      <c r="I88" s="261"/>
      <c r="J88" s="261"/>
    </row>
    <row r="89" spans="1:10" ht="12.75">
      <c r="A89" s="124" t="s">
        <v>216</v>
      </c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.75">
      <c r="A90" s="124" t="s">
        <v>215</v>
      </c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.75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.75">
      <c r="A92" s="124" t="s">
        <v>217</v>
      </c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.75">
      <c r="A93" s="124" t="s">
        <v>147</v>
      </c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3.5" thickBot="1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.75">
      <c r="A95" s="34"/>
      <c r="B95" s="258" t="s">
        <v>226</v>
      </c>
      <c r="C95" s="259"/>
      <c r="D95" s="260"/>
      <c r="E95" s="125"/>
      <c r="F95" s="125"/>
      <c r="G95" s="125"/>
      <c r="H95" s="34"/>
      <c r="I95" s="34"/>
      <c r="J95" s="34"/>
    </row>
    <row r="96" spans="1:10" ht="25.5">
      <c r="A96" s="34"/>
      <c r="B96" s="126" t="s">
        <v>210</v>
      </c>
      <c r="C96" s="127" t="s">
        <v>232</v>
      </c>
      <c r="D96" s="128" t="s">
        <v>209</v>
      </c>
      <c r="E96" s="34"/>
      <c r="F96" s="34"/>
      <c r="G96" s="34"/>
      <c r="H96" s="34"/>
      <c r="I96" s="34"/>
      <c r="J96" s="34"/>
    </row>
    <row r="97" spans="1:10" ht="12.75">
      <c r="A97" s="34"/>
      <c r="B97" s="126" t="s">
        <v>197</v>
      </c>
      <c r="C97" s="127" t="s">
        <v>231</v>
      </c>
      <c r="D97" s="129">
        <v>1</v>
      </c>
      <c r="E97" s="34"/>
      <c r="F97" s="34"/>
      <c r="G97" s="34"/>
      <c r="H97" s="34"/>
      <c r="I97" s="34"/>
      <c r="J97" s="34"/>
    </row>
    <row r="98" spans="1:10" ht="12.75">
      <c r="A98" s="34"/>
      <c r="B98" s="126" t="s">
        <v>206</v>
      </c>
      <c r="C98" s="127" t="s">
        <v>231</v>
      </c>
      <c r="D98" s="129">
        <v>2.614</v>
      </c>
      <c r="E98" s="34"/>
      <c r="F98" s="34"/>
      <c r="G98" s="34"/>
      <c r="H98" s="34"/>
      <c r="I98" s="34"/>
      <c r="J98" s="34"/>
    </row>
    <row r="99" spans="1:10" ht="12.75">
      <c r="A99" s="34"/>
      <c r="B99" s="126" t="s">
        <v>198</v>
      </c>
      <c r="C99" s="127" t="s">
        <v>231</v>
      </c>
      <c r="D99" s="129">
        <v>3.398</v>
      </c>
      <c r="E99" s="34"/>
      <c r="F99" s="34"/>
      <c r="G99" s="34"/>
      <c r="H99" s="34"/>
      <c r="I99" s="34"/>
      <c r="J99" s="34"/>
    </row>
    <row r="100" spans="1:10" ht="12.75">
      <c r="A100" s="34"/>
      <c r="B100" s="126" t="s">
        <v>199</v>
      </c>
      <c r="C100" s="130" t="s">
        <v>229</v>
      </c>
      <c r="D100" s="129">
        <v>1.194</v>
      </c>
      <c r="E100" s="34"/>
      <c r="F100" s="34"/>
      <c r="G100" s="34"/>
      <c r="H100" s="34"/>
      <c r="I100" s="34"/>
      <c r="J100" s="34"/>
    </row>
    <row r="101" spans="1:10" ht="12.75">
      <c r="A101" s="34"/>
      <c r="B101" s="126" t="s">
        <v>200</v>
      </c>
      <c r="C101" s="130" t="s">
        <v>229</v>
      </c>
      <c r="D101" s="129">
        <v>1.286</v>
      </c>
      <c r="E101" s="34"/>
      <c r="F101" s="34"/>
      <c r="G101" s="34"/>
      <c r="H101" s="34"/>
      <c r="I101" s="34"/>
      <c r="J101" s="34"/>
    </row>
    <row r="102" spans="1:10" ht="12.75">
      <c r="A102" s="34"/>
      <c r="B102" s="126" t="s">
        <v>201</v>
      </c>
      <c r="C102" s="130" t="s">
        <v>229</v>
      </c>
      <c r="D102" s="129">
        <v>0.386</v>
      </c>
      <c r="E102" s="34"/>
      <c r="F102" s="34"/>
      <c r="G102" s="34"/>
      <c r="H102" s="34"/>
      <c r="I102" s="34"/>
      <c r="J102" s="34"/>
    </row>
    <row r="103" spans="1:10" ht="12.75">
      <c r="A103" s="34"/>
      <c r="B103" s="126" t="s">
        <v>203</v>
      </c>
      <c r="C103" s="130" t="s">
        <v>229</v>
      </c>
      <c r="D103" s="129">
        <v>1.182</v>
      </c>
      <c r="E103" s="34"/>
      <c r="F103" s="34"/>
      <c r="G103" s="34"/>
      <c r="H103" s="34"/>
      <c r="I103" s="34"/>
      <c r="J103" s="34"/>
    </row>
    <row r="104" spans="1:10" ht="12.75">
      <c r="A104" s="34"/>
      <c r="B104" s="126" t="s">
        <v>202</v>
      </c>
      <c r="C104" s="130" t="s">
        <v>229</v>
      </c>
      <c r="D104" s="129">
        <v>0.479</v>
      </c>
      <c r="E104" s="34"/>
      <c r="F104" s="34"/>
      <c r="G104" s="34"/>
      <c r="H104" s="34"/>
      <c r="I104" s="34"/>
      <c r="J104" s="34"/>
    </row>
    <row r="105" spans="1:10" ht="12.75">
      <c r="A105" s="34"/>
      <c r="B105" s="126" t="s">
        <v>204</v>
      </c>
      <c r="C105" s="130" t="s">
        <v>229</v>
      </c>
      <c r="D105" s="129">
        <v>0.796</v>
      </c>
      <c r="E105" s="34"/>
      <c r="F105" s="34"/>
      <c r="G105" s="34"/>
      <c r="H105" s="34"/>
      <c r="I105" s="34"/>
      <c r="J105" s="34"/>
    </row>
    <row r="106" spans="1:10" ht="13.5" thickBot="1">
      <c r="A106" s="34"/>
      <c r="B106" s="131" t="s">
        <v>205</v>
      </c>
      <c r="C106" s="132" t="s">
        <v>230</v>
      </c>
      <c r="D106" s="133">
        <v>0.226</v>
      </c>
      <c r="E106" s="34"/>
      <c r="F106" s="34"/>
      <c r="G106" s="34"/>
      <c r="H106" s="34"/>
      <c r="I106" s="34"/>
      <c r="J106" s="34"/>
    </row>
    <row r="107" spans="1:10" ht="12.75" hidden="1">
      <c r="A107" s="34"/>
      <c r="B107" s="124" t="s">
        <v>211</v>
      </c>
      <c r="C107" s="124"/>
      <c r="D107" s="124"/>
      <c r="E107" s="34">
        <v>0</v>
      </c>
      <c r="F107" s="34"/>
      <c r="G107" s="34"/>
      <c r="H107" s="34"/>
      <c r="I107" s="34"/>
      <c r="J107" s="34"/>
    </row>
    <row r="108" spans="1:10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.75">
      <c r="A113" s="124" t="s">
        <v>248</v>
      </c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</sheetData>
  <sheetProtection password="80D9" sheet="1"/>
  <mergeCells count="108">
    <mergeCell ref="J43:J44"/>
    <mergeCell ref="J45:J46"/>
    <mergeCell ref="J75:J76"/>
    <mergeCell ref="J47:J48"/>
    <mergeCell ref="J55:J56"/>
    <mergeCell ref="J57:J58"/>
    <mergeCell ref="J59:J60"/>
    <mergeCell ref="J67:J68"/>
    <mergeCell ref="J69:J70"/>
    <mergeCell ref="J73:J74"/>
    <mergeCell ref="J22:J23"/>
    <mergeCell ref="J24:J25"/>
    <mergeCell ref="J33:J34"/>
    <mergeCell ref="J41:J42"/>
    <mergeCell ref="A38:J38"/>
    <mergeCell ref="B41:B42"/>
    <mergeCell ref="D33:D35"/>
    <mergeCell ref="I24:I25"/>
    <mergeCell ref="A22:A23"/>
    <mergeCell ref="A24:A25"/>
    <mergeCell ref="J16:J17"/>
    <mergeCell ref="J18:J19"/>
    <mergeCell ref="J20:J21"/>
    <mergeCell ref="I20:I21"/>
    <mergeCell ref="A16:A17"/>
    <mergeCell ref="A18:A19"/>
    <mergeCell ref="A20:A21"/>
    <mergeCell ref="B18:B19"/>
    <mergeCell ref="B20:B21"/>
    <mergeCell ref="B16:B17"/>
    <mergeCell ref="C14:D14"/>
    <mergeCell ref="C16:C26"/>
    <mergeCell ref="A39:A40"/>
    <mergeCell ref="C39:D39"/>
    <mergeCell ref="D16:D26"/>
    <mergeCell ref="A14:A15"/>
    <mergeCell ref="A31:A32"/>
    <mergeCell ref="C31:D31"/>
    <mergeCell ref="C33:C35"/>
    <mergeCell ref="B22:B23"/>
    <mergeCell ref="I71:I72"/>
    <mergeCell ref="I73:I74"/>
    <mergeCell ref="C55:C61"/>
    <mergeCell ref="C65:D65"/>
    <mergeCell ref="C67:C77"/>
    <mergeCell ref="D67:D77"/>
    <mergeCell ref="I55:I56"/>
    <mergeCell ref="I57:I58"/>
    <mergeCell ref="I59:I60"/>
    <mergeCell ref="I75:I76"/>
    <mergeCell ref="B24:B25"/>
    <mergeCell ref="I33:I34"/>
    <mergeCell ref="B45:B46"/>
    <mergeCell ref="D55:D61"/>
    <mergeCell ref="I43:I44"/>
    <mergeCell ref="I45:I46"/>
    <mergeCell ref="D41:D49"/>
    <mergeCell ref="C41:C49"/>
    <mergeCell ref="I47:I48"/>
    <mergeCell ref="B43:B44"/>
    <mergeCell ref="I41:I42"/>
    <mergeCell ref="A41:A42"/>
    <mergeCell ref="A43:A44"/>
    <mergeCell ref="A45:A46"/>
    <mergeCell ref="A47:A48"/>
    <mergeCell ref="A67:A68"/>
    <mergeCell ref="A69:A70"/>
    <mergeCell ref="B59:B60"/>
    <mergeCell ref="A52:J52"/>
    <mergeCell ref="C53:D53"/>
    <mergeCell ref="A53:A54"/>
    <mergeCell ref="B47:B48"/>
    <mergeCell ref="A55:A56"/>
    <mergeCell ref="A57:A58"/>
    <mergeCell ref="A59:A60"/>
    <mergeCell ref="B55:B56"/>
    <mergeCell ref="A50:J50"/>
    <mergeCell ref="B57:B58"/>
    <mergeCell ref="A71:A72"/>
    <mergeCell ref="A64:J64"/>
    <mergeCell ref="A62:J62"/>
    <mergeCell ref="I67:I68"/>
    <mergeCell ref="I69:I70"/>
    <mergeCell ref="A65:A66"/>
    <mergeCell ref="J71:J72"/>
    <mergeCell ref="B67:B68"/>
    <mergeCell ref="B69:B70"/>
    <mergeCell ref="B71:B72"/>
    <mergeCell ref="A13:J13"/>
    <mergeCell ref="A1:J1"/>
    <mergeCell ref="A27:J27"/>
    <mergeCell ref="A36:J36"/>
    <mergeCell ref="I16:I17"/>
    <mergeCell ref="I18:I19"/>
    <mergeCell ref="I22:I23"/>
    <mergeCell ref="A30:J30"/>
    <mergeCell ref="A33:A34"/>
    <mergeCell ref="B33:B34"/>
    <mergeCell ref="A83:I83"/>
    <mergeCell ref="B95:D95"/>
    <mergeCell ref="A88:J88"/>
    <mergeCell ref="A75:A76"/>
    <mergeCell ref="B75:B76"/>
    <mergeCell ref="A78:J78"/>
    <mergeCell ref="B73:B74"/>
    <mergeCell ref="A73:A74"/>
    <mergeCell ref="A81:I81"/>
    <mergeCell ref="A82:I82"/>
  </mergeCells>
  <dataValidations count="4">
    <dataValidation type="list" allowBlank="1" showInputMessage="1" showErrorMessage="1" sqref="E16:E25 E67:E76 E55:E60 E41:E48 E33:E34">
      <formula1>$B$97:$B$107</formula1>
    </dataValidation>
    <dataValidation type="list" allowBlank="1" showInputMessage="1" showErrorMessage="1" sqref="G42:G48 G67:G76 G55:G60 G34 G17:G25">
      <formula1>$D$97:$D$106</formula1>
    </dataValidation>
    <dataValidation type="list" allowBlank="1" showInputMessage="1" showErrorMessage="1" sqref="G33 G16">
      <formula1>$D$97:$D$106</formula1>
    </dataValidation>
    <dataValidation type="list" allowBlank="1" showInputMessage="1" showErrorMessage="1" sqref="G41">
      <formula1>$D$97:$D$105</formula1>
    </dataValidation>
  </dataValidations>
  <printOptions/>
  <pageMargins left="0.7" right="0.17" top="0.75" bottom="0.75" header="0.3" footer="0.3"/>
  <pageSetup fitToHeight="1" fitToWidth="1" horizontalDpi="600" verticalDpi="600" orientation="portrait" paperSize="9" scale="4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10" zoomScaleSheetLayoutView="100" workbookViewId="0" topLeftCell="A13">
      <selection activeCell="A34" sqref="A34"/>
    </sheetView>
  </sheetViews>
  <sheetFormatPr defaultColWidth="9.140625" defaultRowHeight="12.75"/>
  <cols>
    <col min="1" max="1" width="43.00390625" style="0" customWidth="1"/>
    <col min="2" max="8" width="12.7109375" style="0" customWidth="1"/>
    <col min="9" max="9" width="19.57421875" style="0" customWidth="1"/>
  </cols>
  <sheetData>
    <row r="1" spans="1:9" ht="18.75" thickBot="1">
      <c r="A1" s="239" t="s">
        <v>102</v>
      </c>
      <c r="B1" s="240"/>
      <c r="C1" s="240"/>
      <c r="D1" s="240"/>
      <c r="E1" s="240"/>
      <c r="F1" s="240"/>
      <c r="G1" s="240"/>
      <c r="H1" s="240"/>
      <c r="I1" s="241"/>
    </row>
    <row r="2" spans="1:10" s="111" customFormat="1" ht="18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s="32" customFormat="1" ht="18">
      <c r="A3" s="119" t="s">
        <v>264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s="32" customFormat="1" ht="3.75" customHeight="1">
      <c r="A4" s="112"/>
      <c r="B4" s="110"/>
      <c r="C4" s="110"/>
      <c r="D4" s="110"/>
      <c r="E4" s="110"/>
      <c r="F4" s="110"/>
      <c r="G4" s="110"/>
      <c r="H4" s="110"/>
      <c r="I4" s="110"/>
      <c r="J4" s="110"/>
    </row>
    <row r="5" spans="1:10" s="32" customFormat="1" ht="18">
      <c r="A5" s="123"/>
      <c r="B5" s="120" t="s">
        <v>265</v>
      </c>
      <c r="C5" s="110"/>
      <c r="D5" s="110"/>
      <c r="E5" s="110"/>
      <c r="F5" s="110"/>
      <c r="G5" s="110"/>
      <c r="H5" s="110"/>
      <c r="I5" s="110"/>
      <c r="J5" s="110"/>
    </row>
    <row r="6" spans="1:10" s="32" customFormat="1" ht="3.75" customHeight="1">
      <c r="A6" s="118"/>
      <c r="B6" s="112"/>
      <c r="C6" s="110"/>
      <c r="D6" s="110"/>
      <c r="E6" s="110"/>
      <c r="F6" s="110"/>
      <c r="G6" s="110"/>
      <c r="H6" s="110"/>
      <c r="I6" s="110"/>
      <c r="J6" s="110"/>
    </row>
    <row r="7" spans="1:10" s="32" customFormat="1" ht="18">
      <c r="A7" s="113"/>
      <c r="B7" s="119" t="s">
        <v>266</v>
      </c>
      <c r="C7" s="110"/>
      <c r="D7" s="110"/>
      <c r="E7" s="110"/>
      <c r="F7" s="110"/>
      <c r="G7" s="110"/>
      <c r="H7" s="110"/>
      <c r="I7" s="110"/>
      <c r="J7" s="110"/>
    </row>
    <row r="8" spans="1:10" s="32" customFormat="1" ht="3.75" customHeight="1">
      <c r="A8" s="117"/>
      <c r="B8" s="114"/>
      <c r="C8" s="110"/>
      <c r="D8" s="110"/>
      <c r="E8" s="110"/>
      <c r="F8" s="110"/>
      <c r="G8" s="110"/>
      <c r="H8" s="110"/>
      <c r="I8" s="110"/>
      <c r="J8" s="110"/>
    </row>
    <row r="9" spans="1:10" s="32" customFormat="1" ht="18">
      <c r="A9" s="115"/>
      <c r="B9" s="119" t="s">
        <v>267</v>
      </c>
      <c r="C9" s="110"/>
      <c r="D9" s="110"/>
      <c r="E9" s="110"/>
      <c r="F9" s="110"/>
      <c r="G9" s="110"/>
      <c r="H9" s="110"/>
      <c r="I9" s="110"/>
      <c r="J9" s="110"/>
    </row>
    <row r="10" spans="1:10" s="32" customFormat="1" ht="3.75" customHeight="1">
      <c r="A10" s="118"/>
      <c r="B10" s="114"/>
      <c r="C10" s="110"/>
      <c r="D10" s="110"/>
      <c r="E10" s="110"/>
      <c r="F10" s="110"/>
      <c r="G10" s="110"/>
      <c r="H10" s="110"/>
      <c r="I10" s="110"/>
      <c r="J10" s="110"/>
    </row>
    <row r="11" spans="1:10" s="32" customFormat="1" ht="18">
      <c r="A11" s="116"/>
      <c r="B11" s="119" t="s">
        <v>268</v>
      </c>
      <c r="C11" s="110"/>
      <c r="D11" s="110"/>
      <c r="E11" s="110"/>
      <c r="F11" s="110"/>
      <c r="G11" s="110"/>
      <c r="H11" s="110"/>
      <c r="I11" s="110"/>
      <c r="J11" s="110"/>
    </row>
    <row r="12" spans="1:10" s="32" customFormat="1" ht="13.5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3" ht="42.75" customHeight="1">
      <c r="A13" s="92" t="s">
        <v>103</v>
      </c>
      <c r="B13" s="93" t="s">
        <v>104</v>
      </c>
      <c r="C13" s="93" t="s">
        <v>105</v>
      </c>
      <c r="D13" s="94" t="s">
        <v>233</v>
      </c>
      <c r="E13" s="93" t="s">
        <v>106</v>
      </c>
      <c r="F13" s="94" t="s">
        <v>234</v>
      </c>
      <c r="G13" s="94" t="s">
        <v>235</v>
      </c>
      <c r="H13" s="93" t="s">
        <v>118</v>
      </c>
      <c r="I13" s="95" t="s">
        <v>145</v>
      </c>
      <c r="M13" s="1"/>
    </row>
    <row r="14" spans="1:13" ht="14.25">
      <c r="A14" s="42" t="s">
        <v>109</v>
      </c>
      <c r="B14" s="45">
        <v>40</v>
      </c>
      <c r="C14" s="45">
        <v>12</v>
      </c>
      <c r="D14" s="45">
        <f>B14-C14</f>
        <v>28</v>
      </c>
      <c r="E14" s="43" t="s">
        <v>108</v>
      </c>
      <c r="F14" s="45">
        <v>6630</v>
      </c>
      <c r="G14" s="97">
        <v>0</v>
      </c>
      <c r="H14" s="101">
        <f>D14*(G14/F14)</f>
        <v>0</v>
      </c>
      <c r="I14" s="99" t="str">
        <f>IF(G14&gt;F14,"OFFERTA NON VALIDA!!!","OFFERTA VALIDA")</f>
        <v>OFFERTA VALIDA</v>
      </c>
      <c r="M14" s="1"/>
    </row>
    <row r="15" spans="1:9" ht="14.25">
      <c r="A15" s="42" t="s">
        <v>110</v>
      </c>
      <c r="B15" s="45">
        <v>25</v>
      </c>
      <c r="C15" s="45">
        <v>12</v>
      </c>
      <c r="D15" s="45">
        <f aca="true" t="shared" si="0" ref="D15:D23">B15-C15</f>
        <v>13</v>
      </c>
      <c r="E15" s="43" t="s">
        <v>108</v>
      </c>
      <c r="F15" s="45">
        <v>19035</v>
      </c>
      <c r="G15" s="97">
        <v>0</v>
      </c>
      <c r="H15" s="101">
        <f aca="true" t="shared" si="1" ref="H15:H22">D15*(G15/F15)</f>
        <v>0</v>
      </c>
      <c r="I15" s="99" t="str">
        <f aca="true" t="shared" si="2" ref="I15:I23">IF(G15&gt;F15,"OFFERTA NON VALIDA!!!","OFFERTA VALIDA")</f>
        <v>OFFERTA VALIDA</v>
      </c>
    </row>
    <row r="16" spans="1:9" ht="14.25">
      <c r="A16" s="42" t="s">
        <v>111</v>
      </c>
      <c r="B16" s="45">
        <v>20</v>
      </c>
      <c r="C16" s="45">
        <v>12</v>
      </c>
      <c r="D16" s="45">
        <f t="shared" si="0"/>
        <v>8</v>
      </c>
      <c r="E16" s="43" t="s">
        <v>112</v>
      </c>
      <c r="F16" s="45">
        <v>1135</v>
      </c>
      <c r="G16" s="97">
        <v>0</v>
      </c>
      <c r="H16" s="101">
        <f t="shared" si="1"/>
        <v>0</v>
      </c>
      <c r="I16" s="99" t="str">
        <f t="shared" si="2"/>
        <v>OFFERTA VALIDA</v>
      </c>
    </row>
    <row r="17" spans="1:9" ht="25.5">
      <c r="A17" s="59" t="s">
        <v>117</v>
      </c>
      <c r="B17" s="45">
        <v>25</v>
      </c>
      <c r="C17" s="45">
        <v>12</v>
      </c>
      <c r="D17" s="45">
        <f t="shared" si="0"/>
        <v>13</v>
      </c>
      <c r="E17" s="43" t="s">
        <v>108</v>
      </c>
      <c r="F17" s="45">
        <v>20815</v>
      </c>
      <c r="G17" s="97">
        <v>0</v>
      </c>
      <c r="H17" s="101">
        <f t="shared" si="1"/>
        <v>0</v>
      </c>
      <c r="I17" s="99" t="str">
        <f t="shared" si="2"/>
        <v>OFFERTA VALIDA</v>
      </c>
    </row>
    <row r="18" spans="1:9" ht="25.5">
      <c r="A18" s="59" t="s">
        <v>113</v>
      </c>
      <c r="B18" s="45">
        <v>20</v>
      </c>
      <c r="C18" s="45">
        <v>12</v>
      </c>
      <c r="D18" s="45">
        <f t="shared" si="0"/>
        <v>8</v>
      </c>
      <c r="E18" s="43" t="s">
        <v>108</v>
      </c>
      <c r="F18" s="45">
        <v>5775</v>
      </c>
      <c r="G18" s="97">
        <v>0</v>
      </c>
      <c r="H18" s="101">
        <f t="shared" si="1"/>
        <v>0</v>
      </c>
      <c r="I18" s="99" t="str">
        <f t="shared" si="2"/>
        <v>OFFERTA VALIDA</v>
      </c>
    </row>
    <row r="19" spans="1:9" ht="38.25">
      <c r="A19" s="59" t="s">
        <v>116</v>
      </c>
      <c r="B19" s="45">
        <v>25</v>
      </c>
      <c r="C19" s="45">
        <v>12</v>
      </c>
      <c r="D19" s="45">
        <f t="shared" si="0"/>
        <v>13</v>
      </c>
      <c r="E19" s="43" t="s">
        <v>108</v>
      </c>
      <c r="F19" s="45">
        <v>19560</v>
      </c>
      <c r="G19" s="97">
        <v>0</v>
      </c>
      <c r="H19" s="101">
        <f t="shared" si="1"/>
        <v>0</v>
      </c>
      <c r="I19" s="99" t="str">
        <f t="shared" si="2"/>
        <v>OFFERTA VALIDA</v>
      </c>
    </row>
    <row r="20" spans="1:9" ht="12.75">
      <c r="A20" s="42" t="s">
        <v>120</v>
      </c>
      <c r="B20" s="45">
        <v>15</v>
      </c>
      <c r="C20" s="45">
        <v>12</v>
      </c>
      <c r="D20" s="45">
        <f t="shared" si="0"/>
        <v>3</v>
      </c>
      <c r="E20" s="43" t="s">
        <v>107</v>
      </c>
      <c r="F20" s="45">
        <v>18</v>
      </c>
      <c r="G20" s="97">
        <v>0</v>
      </c>
      <c r="H20" s="101">
        <f t="shared" si="1"/>
        <v>0</v>
      </c>
      <c r="I20" s="99" t="str">
        <f t="shared" si="2"/>
        <v>OFFERTA VALIDA</v>
      </c>
    </row>
    <row r="21" spans="1:9" ht="12.75">
      <c r="A21" s="42" t="s">
        <v>114</v>
      </c>
      <c r="B21" s="45">
        <v>15</v>
      </c>
      <c r="C21" s="45">
        <v>12</v>
      </c>
      <c r="D21" s="45">
        <f t="shared" si="0"/>
        <v>3</v>
      </c>
      <c r="E21" s="43" t="s">
        <v>107</v>
      </c>
      <c r="F21" s="45">
        <v>18</v>
      </c>
      <c r="G21" s="97">
        <v>0</v>
      </c>
      <c r="H21" s="101">
        <f t="shared" si="1"/>
        <v>0</v>
      </c>
      <c r="I21" s="99" t="str">
        <f t="shared" si="2"/>
        <v>OFFERTA VALIDA</v>
      </c>
    </row>
    <row r="22" spans="1:9" ht="12.75">
      <c r="A22" s="42" t="s">
        <v>245</v>
      </c>
      <c r="B22" s="45">
        <v>20</v>
      </c>
      <c r="C22" s="45">
        <v>12</v>
      </c>
      <c r="D22" s="45">
        <f t="shared" si="0"/>
        <v>8</v>
      </c>
      <c r="E22" s="43" t="s">
        <v>107</v>
      </c>
      <c r="F22" s="45">
        <v>18</v>
      </c>
      <c r="G22" s="97">
        <v>0</v>
      </c>
      <c r="H22" s="101">
        <f t="shared" si="1"/>
        <v>0</v>
      </c>
      <c r="I22" s="99" t="str">
        <f t="shared" si="2"/>
        <v>OFFERTA VALIDA</v>
      </c>
    </row>
    <row r="23" spans="1:9" ht="13.5" thickBot="1">
      <c r="A23" s="96" t="s">
        <v>244</v>
      </c>
      <c r="B23" s="36">
        <v>20</v>
      </c>
      <c r="C23" s="36">
        <v>12</v>
      </c>
      <c r="D23" s="36">
        <f t="shared" si="0"/>
        <v>8</v>
      </c>
      <c r="E23" s="39" t="s">
        <v>107</v>
      </c>
      <c r="F23" s="36">
        <v>18</v>
      </c>
      <c r="G23" s="98">
        <v>0</v>
      </c>
      <c r="H23" s="102">
        <f>D23*(G23/F23)</f>
        <v>0</v>
      </c>
      <c r="I23" s="100" t="str">
        <f t="shared" si="2"/>
        <v>OFFERTA VALIDA</v>
      </c>
    </row>
    <row r="24" spans="1:9" ht="13.5" thickBot="1">
      <c r="A24" s="34"/>
      <c r="B24" s="34"/>
      <c r="C24" s="34"/>
      <c r="D24" s="90">
        <f>SUM(D14:D23)</f>
        <v>105</v>
      </c>
      <c r="E24" s="34"/>
      <c r="F24" s="34"/>
      <c r="G24" s="34"/>
      <c r="H24" s="91">
        <f>SUM(H14:H23)</f>
        <v>0</v>
      </c>
      <c r="I24" s="34"/>
    </row>
    <row r="25" spans="1:9" ht="13.5" thickBot="1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24" thickBot="1">
      <c r="A26" s="293" t="s">
        <v>121</v>
      </c>
      <c r="B26" s="294"/>
      <c r="C26" s="294"/>
      <c r="D26" s="76">
        <f>H24</f>
        <v>0</v>
      </c>
      <c r="E26" s="34"/>
      <c r="F26" s="34"/>
      <c r="G26" s="34"/>
      <c r="H26" s="34"/>
      <c r="I26" s="34"/>
    </row>
    <row r="27" spans="1:9" ht="12.75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2.75">
      <c r="A28" s="124" t="s">
        <v>122</v>
      </c>
      <c r="B28" s="34"/>
      <c r="C28" s="34"/>
      <c r="D28" s="34"/>
      <c r="E28" s="34"/>
      <c r="F28" s="34"/>
      <c r="G28" s="34"/>
      <c r="H28" s="34"/>
      <c r="I28" s="34"/>
    </row>
    <row r="29" spans="1:9" ht="12.75">
      <c r="A29" s="124" t="s">
        <v>247</v>
      </c>
      <c r="B29" s="34"/>
      <c r="C29" s="34"/>
      <c r="D29" s="34"/>
      <c r="E29" s="34"/>
      <c r="F29" s="34"/>
      <c r="G29" s="34"/>
      <c r="H29" s="34"/>
      <c r="I29" s="34"/>
    </row>
    <row r="30" spans="1:9" ht="12.75">
      <c r="A30" s="124" t="s">
        <v>246</v>
      </c>
      <c r="B30" s="34"/>
      <c r="C30" s="34"/>
      <c r="D30" s="34"/>
      <c r="E30" s="34"/>
      <c r="F30" s="34"/>
      <c r="G30" s="34"/>
      <c r="H30" s="34"/>
      <c r="I30" s="34"/>
    </row>
    <row r="31" spans="1:9" ht="12.75">
      <c r="A31" s="124" t="s">
        <v>146</v>
      </c>
      <c r="B31" s="34"/>
      <c r="C31" s="34"/>
      <c r="D31" s="34"/>
      <c r="E31" s="34"/>
      <c r="F31" s="34"/>
      <c r="G31" s="34"/>
      <c r="H31" s="34"/>
      <c r="I31" s="34"/>
    </row>
    <row r="32" spans="1:9" ht="12.7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2.7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2.75">
      <c r="A34" s="124" t="s">
        <v>248</v>
      </c>
      <c r="B34" s="34"/>
      <c r="C34" s="34"/>
      <c r="D34" s="34"/>
      <c r="E34" s="34"/>
      <c r="F34" s="34"/>
      <c r="G34" s="34"/>
      <c r="H34" s="34"/>
      <c r="I34" s="34"/>
    </row>
    <row r="35" spans="1:9" ht="12.7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2.7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2.7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2.7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</sheetData>
  <sheetProtection password="80D9" sheet="1"/>
  <mergeCells count="2">
    <mergeCell ref="A1:I1"/>
    <mergeCell ref="A26:C26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view="pageBreakPreview" zoomScale="90" zoomScaleSheetLayoutView="90" zoomScalePageLayoutView="0" workbookViewId="0" topLeftCell="B34">
      <selection activeCell="E54" sqref="E54"/>
    </sheetView>
  </sheetViews>
  <sheetFormatPr defaultColWidth="9.140625" defaultRowHeight="12.75"/>
  <cols>
    <col min="1" max="1" width="52.28125" style="0" customWidth="1"/>
    <col min="2" max="2" width="18.7109375" style="0" customWidth="1"/>
    <col min="3" max="5" width="25.7109375" style="0" customWidth="1"/>
    <col min="6" max="7" width="15.140625" style="0" customWidth="1"/>
    <col min="8" max="8" width="17.140625" style="0" customWidth="1"/>
  </cols>
  <sheetData>
    <row r="1" spans="1:8" ht="18">
      <c r="A1" s="302" t="s">
        <v>123</v>
      </c>
      <c r="B1" s="303"/>
      <c r="C1" s="303"/>
      <c r="D1" s="303"/>
      <c r="E1" s="303"/>
      <c r="F1" s="303"/>
      <c r="G1" s="303"/>
      <c r="H1" s="303"/>
    </row>
    <row r="2" spans="1:10" s="111" customFormat="1" ht="18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s="32" customFormat="1" ht="18">
      <c r="A3" s="119" t="s">
        <v>264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s="32" customFormat="1" ht="3.75" customHeight="1">
      <c r="A4" s="112"/>
      <c r="B4" s="110"/>
      <c r="C4" s="110"/>
      <c r="D4" s="110"/>
      <c r="E4" s="110"/>
      <c r="F4" s="110"/>
      <c r="G4" s="110"/>
      <c r="H4" s="110"/>
      <c r="I4" s="110"/>
      <c r="J4" s="110"/>
    </row>
    <row r="5" spans="1:10" s="32" customFormat="1" ht="18">
      <c r="A5" s="123"/>
      <c r="B5" s="120" t="s">
        <v>269</v>
      </c>
      <c r="C5" s="110"/>
      <c r="D5" s="110"/>
      <c r="E5" s="110"/>
      <c r="F5" s="110"/>
      <c r="G5" s="110"/>
      <c r="H5" s="110"/>
      <c r="I5" s="110"/>
      <c r="J5" s="110"/>
    </row>
    <row r="6" spans="1:10" s="32" customFormat="1" ht="3.75" customHeight="1">
      <c r="A6" s="118"/>
      <c r="B6" s="112"/>
      <c r="C6" s="110"/>
      <c r="D6" s="110"/>
      <c r="E6" s="110"/>
      <c r="F6" s="110"/>
      <c r="G6" s="110"/>
      <c r="H6" s="110"/>
      <c r="I6" s="110"/>
      <c r="J6" s="110"/>
    </row>
    <row r="7" spans="1:10" s="32" customFormat="1" ht="18">
      <c r="A7" s="113"/>
      <c r="B7" s="119" t="s">
        <v>271</v>
      </c>
      <c r="C7" s="110"/>
      <c r="D7" s="110"/>
      <c r="E7" s="110"/>
      <c r="F7" s="110"/>
      <c r="G7" s="110"/>
      <c r="H7" s="110"/>
      <c r="I7" s="110"/>
      <c r="J7" s="110"/>
    </row>
    <row r="8" spans="1:10" s="32" customFormat="1" ht="3.75" customHeight="1">
      <c r="A8" s="117"/>
      <c r="B8" s="114"/>
      <c r="C8" s="110"/>
      <c r="D8" s="110"/>
      <c r="E8" s="110"/>
      <c r="F8" s="110"/>
      <c r="G8" s="110"/>
      <c r="H8" s="110"/>
      <c r="I8" s="110"/>
      <c r="J8" s="110"/>
    </row>
    <row r="9" spans="1:10" s="32" customFormat="1" ht="18">
      <c r="A9" s="115"/>
      <c r="B9" s="119" t="s">
        <v>272</v>
      </c>
      <c r="C9" s="110"/>
      <c r="D9" s="110"/>
      <c r="E9" s="110"/>
      <c r="F9" s="110"/>
      <c r="G9" s="110"/>
      <c r="H9" s="110"/>
      <c r="I9" s="110"/>
      <c r="J9" s="110"/>
    </row>
    <row r="10" spans="1:10" s="32" customFormat="1" ht="3.75" customHeight="1">
      <c r="A10" s="118"/>
      <c r="B10" s="114"/>
      <c r="C10" s="110"/>
      <c r="D10" s="110"/>
      <c r="E10" s="110"/>
      <c r="F10" s="110"/>
      <c r="G10" s="110"/>
      <c r="H10" s="110"/>
      <c r="I10" s="110"/>
      <c r="J10" s="110"/>
    </row>
    <row r="11" spans="1:10" s="32" customFormat="1" ht="18">
      <c r="A11" s="116"/>
      <c r="B11" s="119" t="s">
        <v>270</v>
      </c>
      <c r="C11" s="110"/>
      <c r="D11" s="110"/>
      <c r="E11" s="110"/>
      <c r="F11" s="110"/>
      <c r="G11" s="110"/>
      <c r="H11" s="110"/>
      <c r="I11" s="110"/>
      <c r="J11" s="110"/>
    </row>
    <row r="12" spans="1:10" s="32" customFormat="1" ht="13.5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8" ht="12.75">
      <c r="A13" s="298" t="s">
        <v>81</v>
      </c>
      <c r="B13" s="299"/>
      <c r="C13" s="299"/>
      <c r="D13" s="299"/>
      <c r="E13" s="299"/>
      <c r="F13" s="299"/>
      <c r="G13" s="300"/>
      <c r="H13" s="301"/>
    </row>
    <row r="14" spans="1:8" ht="51">
      <c r="A14" s="274" t="s">
        <v>74</v>
      </c>
      <c r="B14" s="35" t="s">
        <v>75</v>
      </c>
      <c r="C14" s="57" t="s">
        <v>222</v>
      </c>
      <c r="D14" s="57" t="s">
        <v>221</v>
      </c>
      <c r="E14" s="57" t="s">
        <v>223</v>
      </c>
      <c r="F14" s="57" t="s">
        <v>49</v>
      </c>
      <c r="G14" s="77" t="s">
        <v>236</v>
      </c>
      <c r="H14" s="58" t="s">
        <v>119</v>
      </c>
    </row>
    <row r="15" spans="1:8" ht="13.5" thickBot="1">
      <c r="A15" s="275"/>
      <c r="B15" s="36" t="s">
        <v>79</v>
      </c>
      <c r="C15" s="36" t="s">
        <v>78</v>
      </c>
      <c r="D15" s="39" t="s">
        <v>78</v>
      </c>
      <c r="E15" s="39" t="s">
        <v>78</v>
      </c>
      <c r="F15" s="39"/>
      <c r="G15" s="78"/>
      <c r="H15" s="40"/>
    </row>
    <row r="16" spans="1:10" ht="12.75">
      <c r="A16" s="37" t="s">
        <v>69</v>
      </c>
      <c r="B16" s="48">
        <v>8524</v>
      </c>
      <c r="C16" s="67"/>
      <c r="D16" s="67"/>
      <c r="E16" s="67"/>
      <c r="F16" s="108">
        <f>C16+D16+E16</f>
        <v>0</v>
      </c>
      <c r="G16" s="79">
        <f>(B16*E16)/1000*0.202</f>
        <v>0</v>
      </c>
      <c r="H16" s="65" t="str">
        <f>IF(F16=1,"offerta valida","offerta non valida!!!")</f>
        <v>offerta non valida!!!</v>
      </c>
      <c r="J16" s="1"/>
    </row>
    <row r="17" spans="1:8" ht="12.75">
      <c r="A17" s="56" t="s">
        <v>70</v>
      </c>
      <c r="B17" s="49">
        <v>13148</v>
      </c>
      <c r="C17" s="68"/>
      <c r="D17" s="68"/>
      <c r="E17" s="67"/>
      <c r="F17" s="109">
        <f>C17+D17+E17</f>
        <v>0</v>
      </c>
      <c r="G17" s="79">
        <f>(B17*E17)/1000*0.202</f>
        <v>0</v>
      </c>
      <c r="H17" s="66" t="str">
        <f>IF(F17=1,"offerta valida","offerta non valida!!!")</f>
        <v>offerta non valida!!!</v>
      </c>
    </row>
    <row r="18" spans="1:8" ht="12.75">
      <c r="A18" s="56" t="s">
        <v>71</v>
      </c>
      <c r="B18" s="49">
        <v>36720</v>
      </c>
      <c r="C18" s="68"/>
      <c r="D18" s="68"/>
      <c r="E18" s="67"/>
      <c r="F18" s="109">
        <f>C18+D18+E18</f>
        <v>0</v>
      </c>
      <c r="G18" s="79">
        <f>(B18*E18)/1000*0.202</f>
        <v>0</v>
      </c>
      <c r="H18" s="66" t="str">
        <f>IF(F18=1,"offerta valida","offerta non valida!!!")</f>
        <v>offerta non valida!!!</v>
      </c>
    </row>
    <row r="19" spans="1:8" ht="12.75">
      <c r="A19" s="56" t="s">
        <v>72</v>
      </c>
      <c r="B19" s="49">
        <v>19740</v>
      </c>
      <c r="C19" s="68"/>
      <c r="D19" s="68"/>
      <c r="E19" s="67"/>
      <c r="F19" s="109">
        <f>C19+D19+E19</f>
        <v>0</v>
      </c>
      <c r="G19" s="79">
        <f>(B19*E19)/1000*0.202</f>
        <v>0</v>
      </c>
      <c r="H19" s="66" t="str">
        <f>IF(F19=1,"offerta valida","offerta non valida!!!")</f>
        <v>offerta non valida!!!</v>
      </c>
    </row>
    <row r="20" spans="1:8" ht="12.75">
      <c r="A20" s="56" t="s">
        <v>73</v>
      </c>
      <c r="B20" s="49">
        <v>25938</v>
      </c>
      <c r="C20" s="68"/>
      <c r="D20" s="68"/>
      <c r="E20" s="67"/>
      <c r="F20" s="109">
        <f>C20+D20+E20</f>
        <v>0</v>
      </c>
      <c r="G20" s="79">
        <f>(B20*E20)/1000*0.202</f>
        <v>0</v>
      </c>
      <c r="H20" s="66" t="str">
        <f>IF(F20=1,"offerta valida","offerta non valida!!!")</f>
        <v>offerta non valida!!!</v>
      </c>
    </row>
    <row r="21" spans="1:10" ht="12.75">
      <c r="A21" s="38" t="s">
        <v>76</v>
      </c>
      <c r="B21" s="50">
        <f>SUM(B16:B20)</f>
        <v>104070</v>
      </c>
      <c r="C21" s="121">
        <f>(B16*C16+B17*C17+B18*C18+B19*C19+B20*C20)/B21</f>
        <v>0</v>
      </c>
      <c r="D21" s="121">
        <f>(B16*D16+B17*D17+B18*D18+B19*D19+B20*D20)/B21</f>
        <v>0</v>
      </c>
      <c r="E21" s="121">
        <f>(E16*B16+E17*B17+E18*B18+E19*B19+E20*B20)/B21</f>
        <v>0</v>
      </c>
      <c r="F21" s="34"/>
      <c r="G21" s="80">
        <f>SUM(G16:G20)</f>
        <v>0</v>
      </c>
      <c r="H21" s="34"/>
      <c r="J21" s="64"/>
    </row>
    <row r="22" spans="1:8" ht="13.5" thickBot="1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298" t="s">
        <v>82</v>
      </c>
      <c r="B23" s="299"/>
      <c r="C23" s="299"/>
      <c r="D23" s="299"/>
      <c r="E23" s="299"/>
      <c r="F23" s="299"/>
      <c r="G23" s="300"/>
      <c r="H23" s="301"/>
    </row>
    <row r="24" spans="1:8" ht="51">
      <c r="A24" s="274" t="s">
        <v>74</v>
      </c>
      <c r="B24" s="35" t="s">
        <v>75</v>
      </c>
      <c r="C24" s="57" t="s">
        <v>219</v>
      </c>
      <c r="D24" s="57" t="s">
        <v>221</v>
      </c>
      <c r="E24" s="57" t="s">
        <v>220</v>
      </c>
      <c r="F24" s="57" t="s">
        <v>49</v>
      </c>
      <c r="G24" s="77" t="s">
        <v>236</v>
      </c>
      <c r="H24" s="58" t="s">
        <v>119</v>
      </c>
    </row>
    <row r="25" spans="1:8" ht="13.5" thickBot="1">
      <c r="A25" s="275"/>
      <c r="B25" s="36" t="s">
        <v>79</v>
      </c>
      <c r="C25" s="36" t="s">
        <v>78</v>
      </c>
      <c r="D25" s="39" t="s">
        <v>78</v>
      </c>
      <c r="E25" s="39" t="s">
        <v>78</v>
      </c>
      <c r="F25" s="39"/>
      <c r="G25" s="78"/>
      <c r="H25" s="40"/>
    </row>
    <row r="26" spans="1:8" ht="12.75">
      <c r="A26" s="41" t="s">
        <v>83</v>
      </c>
      <c r="B26" s="48">
        <v>13238</v>
      </c>
      <c r="C26" s="69"/>
      <c r="D26" s="67"/>
      <c r="E26" s="67"/>
      <c r="F26" s="108">
        <f>C26+D26+E26</f>
        <v>0</v>
      </c>
      <c r="G26" s="79">
        <f>(B26*E26)/1000*0.202</f>
        <v>0</v>
      </c>
      <c r="H26" s="65" t="str">
        <f>IF(F26=1,"offerta valida","offerta non valida!!!")</f>
        <v>offerta non valida!!!</v>
      </c>
    </row>
    <row r="27" spans="1:10" ht="12.75">
      <c r="A27" s="38" t="s">
        <v>76</v>
      </c>
      <c r="B27" s="50">
        <f>SUM(B26:B26)</f>
        <v>13238</v>
      </c>
      <c r="C27" s="121">
        <f>C26*B26/B27</f>
        <v>0</v>
      </c>
      <c r="D27" s="121">
        <f>D26*B26/B27</f>
        <v>0</v>
      </c>
      <c r="E27" s="121">
        <f>E26*B26/B27</f>
        <v>0</v>
      </c>
      <c r="F27" s="34"/>
      <c r="G27" s="80">
        <f>SUM(G26)</f>
        <v>0</v>
      </c>
      <c r="H27" s="34"/>
      <c r="J27" s="64"/>
    </row>
    <row r="28" spans="1:8" ht="13.5" thickBot="1">
      <c r="A28" s="34"/>
      <c r="B28" s="34"/>
      <c r="C28" s="34"/>
      <c r="D28" s="34"/>
      <c r="E28" s="34"/>
      <c r="F28" s="34"/>
      <c r="G28" s="34"/>
      <c r="H28" s="34"/>
    </row>
    <row r="29" spans="1:8" ht="12.75">
      <c r="A29" s="298" t="s">
        <v>84</v>
      </c>
      <c r="B29" s="299"/>
      <c r="C29" s="299"/>
      <c r="D29" s="299"/>
      <c r="E29" s="299"/>
      <c r="F29" s="299"/>
      <c r="G29" s="300"/>
      <c r="H29" s="301"/>
    </row>
    <row r="30" spans="1:8" ht="51">
      <c r="A30" s="274" t="s">
        <v>74</v>
      </c>
      <c r="B30" s="35" t="s">
        <v>75</v>
      </c>
      <c r="C30" s="57" t="s">
        <v>219</v>
      </c>
      <c r="D30" s="57" t="s">
        <v>221</v>
      </c>
      <c r="E30" s="57" t="s">
        <v>220</v>
      </c>
      <c r="F30" s="57" t="s">
        <v>49</v>
      </c>
      <c r="G30" s="77" t="s">
        <v>236</v>
      </c>
      <c r="H30" s="58" t="s">
        <v>119</v>
      </c>
    </row>
    <row r="31" spans="1:8" ht="13.5" thickBot="1">
      <c r="A31" s="275"/>
      <c r="B31" s="36" t="s">
        <v>79</v>
      </c>
      <c r="C31" s="36" t="s">
        <v>78</v>
      </c>
      <c r="D31" s="39" t="s">
        <v>78</v>
      </c>
      <c r="E31" s="39" t="s">
        <v>78</v>
      </c>
      <c r="F31" s="39"/>
      <c r="G31" s="78"/>
      <c r="H31" s="40"/>
    </row>
    <row r="32" spans="1:8" ht="12.75">
      <c r="A32" s="41" t="s">
        <v>85</v>
      </c>
      <c r="B32" s="48">
        <v>70993</v>
      </c>
      <c r="C32" s="67"/>
      <c r="D32" s="67"/>
      <c r="E32" s="67"/>
      <c r="F32" s="108">
        <f>C32+D32+E32</f>
        <v>0</v>
      </c>
      <c r="G32" s="79">
        <f>(B32*E32)/1000*0.202</f>
        <v>0</v>
      </c>
      <c r="H32" s="65" t="str">
        <f>IF(F32=1,"offerta valida","offerta non valida!!!")</f>
        <v>offerta non valida!!!</v>
      </c>
    </row>
    <row r="33" spans="1:8" ht="12.75">
      <c r="A33" s="42" t="s">
        <v>86</v>
      </c>
      <c r="B33" s="49">
        <v>6393</v>
      </c>
      <c r="C33" s="68"/>
      <c r="D33" s="68"/>
      <c r="E33" s="67"/>
      <c r="F33" s="109">
        <f>C33+D33+E33</f>
        <v>0</v>
      </c>
      <c r="G33" s="79">
        <f>(B33*E33)/1000*0.202</f>
        <v>0</v>
      </c>
      <c r="H33" s="66" t="str">
        <f>IF(F33=1,"offerta valida","offerta non valida!!!")</f>
        <v>offerta non valida!!!</v>
      </c>
    </row>
    <row r="34" spans="1:8" ht="12.75">
      <c r="A34" s="59" t="s">
        <v>87</v>
      </c>
      <c r="B34" s="49">
        <v>75583</v>
      </c>
      <c r="C34" s="68"/>
      <c r="D34" s="68"/>
      <c r="E34" s="67"/>
      <c r="F34" s="109">
        <f>C34+D34+E34</f>
        <v>0</v>
      </c>
      <c r="G34" s="79">
        <f>(B34*E34)/1000*0.202</f>
        <v>0</v>
      </c>
      <c r="H34" s="66" t="str">
        <f>IF(F34=1,"offerta valida","offerta non valida!!!")</f>
        <v>offerta non valida!!!</v>
      </c>
    </row>
    <row r="35" spans="1:8" ht="12.75">
      <c r="A35" s="42" t="s">
        <v>88</v>
      </c>
      <c r="B35" s="49">
        <v>60051</v>
      </c>
      <c r="C35" s="68"/>
      <c r="D35" s="68"/>
      <c r="E35" s="67"/>
      <c r="F35" s="109">
        <f>C35+D35+E35</f>
        <v>0</v>
      </c>
      <c r="G35" s="79">
        <f>(B35*E35)/1000*0.202</f>
        <v>0</v>
      </c>
      <c r="H35" s="66" t="str">
        <f>IF(F35=1,"offerta valida","offerta non valida!!!")</f>
        <v>offerta non valida!!!</v>
      </c>
    </row>
    <row r="36" spans="1:10" ht="12.75">
      <c r="A36" s="38" t="s">
        <v>76</v>
      </c>
      <c r="B36" s="50">
        <f>SUM(B32:B35)</f>
        <v>213020</v>
      </c>
      <c r="C36" s="121">
        <f>(C32*B32+C33*B33+C34*B34+C35*B35)/B36</f>
        <v>0</v>
      </c>
      <c r="D36" s="121">
        <f>(D32*B32+D33*B33+D34*B34+D35*B35)/B36</f>
        <v>0</v>
      </c>
      <c r="E36" s="121">
        <f>(E32*B32+E33*B33+E34*B34+E35*B35)/B36</f>
        <v>0</v>
      </c>
      <c r="F36" s="34"/>
      <c r="G36" s="80">
        <f>SUM(G32:G35)</f>
        <v>0</v>
      </c>
      <c r="H36" s="34"/>
      <c r="J36" s="64"/>
    </row>
    <row r="37" spans="1:8" ht="13.5" thickBot="1">
      <c r="A37" s="34"/>
      <c r="B37" s="34"/>
      <c r="C37" s="34"/>
      <c r="D37" s="34"/>
      <c r="E37" s="34"/>
      <c r="F37" s="34"/>
      <c r="G37" s="34"/>
      <c r="H37" s="34"/>
    </row>
    <row r="38" spans="1:8" ht="12.75">
      <c r="A38" s="298" t="s">
        <v>89</v>
      </c>
      <c r="B38" s="299"/>
      <c r="C38" s="299"/>
      <c r="D38" s="299"/>
      <c r="E38" s="299"/>
      <c r="F38" s="299"/>
      <c r="G38" s="300"/>
      <c r="H38" s="301"/>
    </row>
    <row r="39" spans="1:8" ht="51">
      <c r="A39" s="274" t="s">
        <v>74</v>
      </c>
      <c r="B39" s="35" t="s">
        <v>75</v>
      </c>
      <c r="C39" s="57" t="s">
        <v>219</v>
      </c>
      <c r="D39" s="57" t="s">
        <v>221</v>
      </c>
      <c r="E39" s="57" t="s">
        <v>220</v>
      </c>
      <c r="F39" s="57" t="s">
        <v>49</v>
      </c>
      <c r="G39" s="77" t="s">
        <v>236</v>
      </c>
      <c r="H39" s="58" t="s">
        <v>119</v>
      </c>
    </row>
    <row r="40" spans="1:8" ht="13.5" thickBot="1">
      <c r="A40" s="275"/>
      <c r="B40" s="36" t="s">
        <v>79</v>
      </c>
      <c r="C40" s="36" t="s">
        <v>78</v>
      </c>
      <c r="D40" s="39" t="s">
        <v>78</v>
      </c>
      <c r="E40" s="39" t="s">
        <v>78</v>
      </c>
      <c r="F40" s="39"/>
      <c r="G40" s="78"/>
      <c r="H40" s="40"/>
    </row>
    <row r="41" spans="1:8" ht="12.75">
      <c r="A41" s="41" t="s">
        <v>90</v>
      </c>
      <c r="B41" s="48">
        <v>14653</v>
      </c>
      <c r="C41" s="67"/>
      <c r="D41" s="67"/>
      <c r="E41" s="67"/>
      <c r="F41" s="108">
        <f>C41+D41+E41</f>
        <v>0</v>
      </c>
      <c r="G41" s="79">
        <f>(B41*E41)/1000*0.202</f>
        <v>0</v>
      </c>
      <c r="H41" s="65" t="str">
        <f>IF(F41=1,"offerta valida","offerta non valida!!!")</f>
        <v>offerta non valida!!!</v>
      </c>
    </row>
    <row r="42" spans="1:8" ht="12.75">
      <c r="A42" s="42" t="s">
        <v>91</v>
      </c>
      <c r="B42" s="49">
        <v>40626</v>
      </c>
      <c r="C42" s="68"/>
      <c r="D42" s="68"/>
      <c r="E42" s="67"/>
      <c r="F42" s="109">
        <f>C42+D42+E42</f>
        <v>0</v>
      </c>
      <c r="G42" s="79">
        <f>(B42*E42)/1000*0.202</f>
        <v>0</v>
      </c>
      <c r="H42" s="66" t="str">
        <f>IF(F42=1,"offerta valida","offerta non valida!!!")</f>
        <v>offerta non valida!!!</v>
      </c>
    </row>
    <row r="43" spans="1:8" ht="12.75">
      <c r="A43" s="42" t="s">
        <v>92</v>
      </c>
      <c r="B43" s="49">
        <v>15402</v>
      </c>
      <c r="C43" s="68"/>
      <c r="D43" s="68"/>
      <c r="E43" s="67"/>
      <c r="F43" s="109">
        <f>C43+D43+E43</f>
        <v>0</v>
      </c>
      <c r="G43" s="79">
        <f>(B43*E43)/1000*0.202</f>
        <v>0</v>
      </c>
      <c r="H43" s="66" t="str">
        <f>IF(F43=1,"offerta valida","offerta non valida!!!")</f>
        <v>offerta non valida!!!</v>
      </c>
    </row>
    <row r="44" spans="1:10" ht="12.75">
      <c r="A44" s="38" t="s">
        <v>76</v>
      </c>
      <c r="B44" s="50">
        <f>SUM(B41:B43)</f>
        <v>70681</v>
      </c>
      <c r="C44" s="121">
        <f>(C41*B41+C42*B42+C43*B43)/B44</f>
        <v>0</v>
      </c>
      <c r="D44" s="121">
        <f>(D41*B41+D42*B42+D43*B43)/B44</f>
        <v>0</v>
      </c>
      <c r="E44" s="121">
        <f>(E41*B41+E42*B42+E43*B43)/B44</f>
        <v>0</v>
      </c>
      <c r="F44" s="34"/>
      <c r="G44" s="80">
        <f>SUM(G41:G43)</f>
        <v>0</v>
      </c>
      <c r="H44" s="34"/>
      <c r="J44" s="64"/>
    </row>
    <row r="45" spans="1:8" ht="13.5" thickBot="1">
      <c r="A45" s="34"/>
      <c r="B45" s="34"/>
      <c r="C45" s="34"/>
      <c r="D45" s="34"/>
      <c r="E45" s="34"/>
      <c r="F45" s="34"/>
      <c r="G45" s="34"/>
      <c r="H45" s="34"/>
    </row>
    <row r="46" spans="1:8" ht="12.75">
      <c r="A46" s="298" t="s">
        <v>93</v>
      </c>
      <c r="B46" s="299"/>
      <c r="C46" s="299"/>
      <c r="D46" s="299"/>
      <c r="E46" s="299"/>
      <c r="F46" s="299"/>
      <c r="G46" s="300"/>
      <c r="H46" s="301"/>
    </row>
    <row r="47" spans="1:8" ht="51">
      <c r="A47" s="274" t="s">
        <v>74</v>
      </c>
      <c r="B47" s="35" t="s">
        <v>75</v>
      </c>
      <c r="C47" s="57" t="s">
        <v>219</v>
      </c>
      <c r="D47" s="57" t="s">
        <v>221</v>
      </c>
      <c r="E47" s="57" t="s">
        <v>220</v>
      </c>
      <c r="F47" s="57" t="s">
        <v>49</v>
      </c>
      <c r="G47" s="77" t="s">
        <v>236</v>
      </c>
      <c r="H47" s="58" t="s">
        <v>119</v>
      </c>
    </row>
    <row r="48" spans="1:8" ht="13.5" thickBot="1">
      <c r="A48" s="275"/>
      <c r="B48" s="36" t="s">
        <v>79</v>
      </c>
      <c r="C48" s="36" t="s">
        <v>78</v>
      </c>
      <c r="D48" s="39" t="s">
        <v>78</v>
      </c>
      <c r="E48" s="39" t="s">
        <v>78</v>
      </c>
      <c r="F48" s="39"/>
      <c r="G48" s="78"/>
      <c r="H48" s="40"/>
    </row>
    <row r="49" spans="1:8" ht="12.75">
      <c r="A49" s="41" t="s">
        <v>94</v>
      </c>
      <c r="B49" s="48">
        <v>23887</v>
      </c>
      <c r="C49" s="67"/>
      <c r="D49" s="67"/>
      <c r="E49" s="67"/>
      <c r="F49" s="108">
        <f>C49+D49+E49</f>
        <v>0</v>
      </c>
      <c r="G49" s="79">
        <f>(B49*E49)/1000*0.202</f>
        <v>0</v>
      </c>
      <c r="H49" s="65" t="str">
        <f>IF(F49=1,"offerta valida","offerta non valida!!!")</f>
        <v>offerta non valida!!!</v>
      </c>
    </row>
    <row r="50" spans="1:8" ht="12.75">
      <c r="A50" s="42" t="s">
        <v>95</v>
      </c>
      <c r="B50" s="49">
        <v>10103</v>
      </c>
      <c r="C50" s="68"/>
      <c r="D50" s="68"/>
      <c r="E50" s="67"/>
      <c r="F50" s="109">
        <f>C50+D50+E50</f>
        <v>0</v>
      </c>
      <c r="G50" s="79">
        <f>(B50*E50)/1000*0.202</f>
        <v>0</v>
      </c>
      <c r="H50" s="66" t="str">
        <f>IF(F50=1,"offerta valida","offerta non valida!!!")</f>
        <v>offerta non valida!!!</v>
      </c>
    </row>
    <row r="51" spans="1:8" ht="12.75">
      <c r="A51" s="42" t="s">
        <v>96</v>
      </c>
      <c r="B51" s="49">
        <v>16889</v>
      </c>
      <c r="C51" s="68"/>
      <c r="D51" s="68"/>
      <c r="E51" s="67"/>
      <c r="F51" s="109">
        <f>C51+D51+E51</f>
        <v>0</v>
      </c>
      <c r="G51" s="79">
        <f>(B51*E51)/1000*0.202</f>
        <v>0</v>
      </c>
      <c r="H51" s="66" t="str">
        <f>IF(F51=1,"offerta valida","offerta non valida!!!")</f>
        <v>offerta non valida!!!</v>
      </c>
    </row>
    <row r="52" spans="1:8" ht="12.75">
      <c r="A52" s="42" t="s">
        <v>97</v>
      </c>
      <c r="B52" s="49">
        <v>47776</v>
      </c>
      <c r="C52" s="68"/>
      <c r="D52" s="68"/>
      <c r="E52" s="67"/>
      <c r="F52" s="109">
        <f>C52+D52+E52</f>
        <v>0</v>
      </c>
      <c r="G52" s="79">
        <f>(B52*E52)/1000*0.202</f>
        <v>0</v>
      </c>
      <c r="H52" s="66" t="str">
        <f>IF(F52=1,"offerta valida","offerta non valida!!!")</f>
        <v>offerta non valida!!!</v>
      </c>
    </row>
    <row r="53" spans="1:8" ht="12.75">
      <c r="A53" s="42" t="s">
        <v>98</v>
      </c>
      <c r="B53" s="49">
        <v>21779</v>
      </c>
      <c r="C53" s="68"/>
      <c r="D53" s="68"/>
      <c r="E53" s="67"/>
      <c r="F53" s="109">
        <f>C53+D53+E53</f>
        <v>0</v>
      </c>
      <c r="G53" s="79">
        <f>(B53*E53)/1000*0.202</f>
        <v>0</v>
      </c>
      <c r="H53" s="66" t="str">
        <f>IF(F53=1,"offerta valida","offerta non valida!!!")</f>
        <v>offerta non valida!!!</v>
      </c>
    </row>
    <row r="54" spans="1:10" ht="12.75">
      <c r="A54" s="38" t="s">
        <v>76</v>
      </c>
      <c r="B54" s="50">
        <f>SUM(B49:B53)</f>
        <v>120434</v>
      </c>
      <c r="C54" s="121">
        <f>(B49*C49+B50*C50+B51*C51+B52*C52+B53*C53)/B54</f>
        <v>0</v>
      </c>
      <c r="D54" s="121">
        <f>(B49*D49+B50*D50+B51*D51+B52*D52+B53*D53)/B54</f>
        <v>0</v>
      </c>
      <c r="E54" s="121">
        <f>(E49*B49+E50*B50+E51*B51+E52*B52+E53*B53)/B54</f>
        <v>0</v>
      </c>
      <c r="F54" s="34"/>
      <c r="G54" s="80">
        <f>SUM(G49:G53)</f>
        <v>0</v>
      </c>
      <c r="H54" s="34"/>
      <c r="J54" s="64"/>
    </row>
    <row r="55" spans="1:8" ht="12.75">
      <c r="A55" s="34"/>
      <c r="B55" s="34"/>
      <c r="C55" s="34"/>
      <c r="D55" s="34"/>
      <c r="E55" s="34"/>
      <c r="F55" s="34"/>
      <c r="G55" s="34"/>
      <c r="H55" s="34"/>
    </row>
    <row r="56" spans="1:8" ht="13.5" thickBot="1">
      <c r="A56" s="34"/>
      <c r="B56" s="34"/>
      <c r="C56" s="34"/>
      <c r="D56" s="34"/>
      <c r="E56" s="34"/>
      <c r="F56" s="34"/>
      <c r="G56" s="34"/>
      <c r="H56" s="34"/>
    </row>
    <row r="57" spans="1:8" ht="41.25" customHeight="1" thickBot="1">
      <c r="A57" s="295" t="s">
        <v>273</v>
      </c>
      <c r="B57" s="296"/>
      <c r="C57" s="296"/>
      <c r="D57" s="296"/>
      <c r="E57" s="296"/>
      <c r="F57" s="297"/>
      <c r="G57" s="81">
        <f>G21+G27+G36+G44+G54</f>
        <v>0</v>
      </c>
      <c r="H57" s="34"/>
    </row>
    <row r="58" spans="1:8" ht="12.75">
      <c r="A58" s="34"/>
      <c r="B58" s="34"/>
      <c r="C58" s="34"/>
      <c r="D58" s="34"/>
      <c r="E58" s="34"/>
      <c r="F58" s="34"/>
      <c r="G58" s="34"/>
      <c r="H58" s="34"/>
    </row>
    <row r="59" spans="1:8" ht="12.75">
      <c r="A59" s="34"/>
      <c r="B59" s="34"/>
      <c r="C59" s="34"/>
      <c r="D59" s="34"/>
      <c r="E59" s="34"/>
      <c r="F59" s="34"/>
      <c r="G59" s="34"/>
      <c r="H59" s="34"/>
    </row>
    <row r="60" spans="1:8" ht="12.75">
      <c r="A60" s="124" t="s">
        <v>122</v>
      </c>
      <c r="B60" s="34"/>
      <c r="C60" s="34"/>
      <c r="D60" s="34"/>
      <c r="E60" s="34"/>
      <c r="F60" s="34"/>
      <c r="G60" s="34"/>
      <c r="H60" s="34"/>
    </row>
    <row r="61" spans="1:8" ht="12.75">
      <c r="A61" s="124" t="s">
        <v>224</v>
      </c>
      <c r="B61" s="34"/>
      <c r="C61" s="34"/>
      <c r="D61" s="34"/>
      <c r="E61" s="34"/>
      <c r="F61" s="34"/>
      <c r="G61" s="34"/>
      <c r="H61" s="34"/>
    </row>
    <row r="62" spans="1:8" ht="12.75">
      <c r="A62" s="162" t="s">
        <v>225</v>
      </c>
      <c r="B62" s="34"/>
      <c r="C62" s="34"/>
      <c r="D62" s="34"/>
      <c r="E62" s="34"/>
      <c r="F62" s="34"/>
      <c r="G62" s="34"/>
      <c r="H62" s="34"/>
    </row>
    <row r="63" spans="1:8" ht="12.75">
      <c r="A63" s="34"/>
      <c r="B63" s="34"/>
      <c r="C63" s="34"/>
      <c r="D63" s="34"/>
      <c r="E63" s="34"/>
      <c r="F63" s="34"/>
      <c r="G63" s="34"/>
      <c r="H63" s="34"/>
    </row>
    <row r="64" spans="1:8" ht="12.75">
      <c r="A64" s="34"/>
      <c r="B64" s="34"/>
      <c r="C64" s="34"/>
      <c r="D64" s="34"/>
      <c r="E64" s="34"/>
      <c r="F64" s="34"/>
      <c r="G64" s="34"/>
      <c r="H64" s="34"/>
    </row>
    <row r="65" spans="1:8" ht="12.75">
      <c r="A65" s="34"/>
      <c r="B65" s="34"/>
      <c r="C65" s="34"/>
      <c r="D65" s="34"/>
      <c r="E65" s="34"/>
      <c r="F65" s="34"/>
      <c r="G65" s="34"/>
      <c r="H65" s="34"/>
    </row>
    <row r="66" spans="1:8" ht="12.75">
      <c r="A66" s="124" t="s">
        <v>248</v>
      </c>
      <c r="B66" s="34"/>
      <c r="C66" s="34"/>
      <c r="D66" s="34"/>
      <c r="E66" s="34"/>
      <c r="F66" s="34"/>
      <c r="G66" s="34"/>
      <c r="H66" s="34"/>
    </row>
    <row r="67" spans="1:8" ht="12.75">
      <c r="A67" s="34"/>
      <c r="B67" s="34"/>
      <c r="C67" s="34"/>
      <c r="D67" s="34"/>
      <c r="E67" s="34"/>
      <c r="F67" s="34"/>
      <c r="G67" s="34"/>
      <c r="H67" s="34"/>
    </row>
    <row r="68" spans="1:8" ht="12.75">
      <c r="A68" s="34"/>
      <c r="B68" s="34"/>
      <c r="C68" s="34"/>
      <c r="D68" s="34"/>
      <c r="E68" s="34"/>
      <c r="F68" s="34"/>
      <c r="G68" s="34"/>
      <c r="H68" s="34"/>
    </row>
    <row r="69" spans="1:8" ht="12.75">
      <c r="A69" s="34"/>
      <c r="B69" s="34"/>
      <c r="C69" s="34"/>
      <c r="D69" s="34"/>
      <c r="E69" s="34"/>
      <c r="F69" s="34"/>
      <c r="G69" s="34"/>
      <c r="H69" s="34"/>
    </row>
    <row r="70" spans="1:8" ht="12.75">
      <c r="A70" s="34"/>
      <c r="B70" s="34"/>
      <c r="C70" s="34"/>
      <c r="D70" s="34"/>
      <c r="E70" s="34"/>
      <c r="F70" s="34"/>
      <c r="G70" s="34"/>
      <c r="H70" s="34"/>
    </row>
  </sheetData>
  <sheetProtection password="80D9" sheet="1" objects="1" scenarios="1"/>
  <mergeCells count="12">
    <mergeCell ref="A38:H38"/>
    <mergeCell ref="A24:A25"/>
    <mergeCell ref="A14:A15"/>
    <mergeCell ref="A30:A31"/>
    <mergeCell ref="A13:H13"/>
    <mergeCell ref="A1:H1"/>
    <mergeCell ref="A23:H23"/>
    <mergeCell ref="A29:H29"/>
    <mergeCell ref="A57:F57"/>
    <mergeCell ref="A46:H46"/>
    <mergeCell ref="A47:A48"/>
    <mergeCell ref="A39:A40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9"/>
  <sheetViews>
    <sheetView view="pageBreakPreview" zoomScaleSheetLayoutView="100" zoomScalePageLayoutView="0" workbookViewId="0" topLeftCell="A163">
      <selection activeCell="E5" sqref="E5"/>
    </sheetView>
  </sheetViews>
  <sheetFormatPr defaultColWidth="9.140625" defaultRowHeight="12.75"/>
  <cols>
    <col min="1" max="1" width="50.7109375" style="0" customWidth="1"/>
    <col min="2" max="2" width="10.421875" style="0" customWidth="1"/>
    <col min="3" max="3" width="12.421875" style="0" customWidth="1"/>
    <col min="4" max="4" width="15.7109375" style="0" customWidth="1"/>
    <col min="5" max="5" width="12.57421875" style="0" customWidth="1"/>
    <col min="6" max="6" width="27.57421875" style="0" customWidth="1"/>
    <col min="7" max="7" width="20.421875" style="0" customWidth="1"/>
  </cols>
  <sheetData>
    <row r="1" spans="1:7" ht="18.75" thickBot="1">
      <c r="A1" s="239" t="s">
        <v>124</v>
      </c>
      <c r="B1" s="240"/>
      <c r="C1" s="240"/>
      <c r="D1" s="240"/>
      <c r="E1" s="240"/>
      <c r="F1" s="240"/>
      <c r="G1" s="241"/>
    </row>
    <row r="2" spans="1:10" s="111" customFormat="1" ht="18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s="32" customFormat="1" ht="18">
      <c r="A3" s="119" t="s">
        <v>264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s="32" customFormat="1" ht="3.75" customHeight="1">
      <c r="A4" s="112"/>
      <c r="B4" s="110"/>
      <c r="C4" s="110"/>
      <c r="D4" s="110"/>
      <c r="E4" s="110"/>
      <c r="F4" s="110"/>
      <c r="G4" s="110"/>
      <c r="H4" s="110"/>
      <c r="I4" s="110"/>
      <c r="J4" s="110"/>
    </row>
    <row r="5" spans="1:10" s="32" customFormat="1" ht="18">
      <c r="A5" s="123"/>
      <c r="B5" s="120" t="s">
        <v>269</v>
      </c>
      <c r="C5" s="110"/>
      <c r="D5" s="110"/>
      <c r="E5" s="110"/>
      <c r="F5" s="110"/>
      <c r="G5" s="110"/>
      <c r="H5" s="110"/>
      <c r="I5" s="110"/>
      <c r="J5" s="110"/>
    </row>
    <row r="6" spans="1:10" s="32" customFormat="1" ht="3.75" customHeight="1">
      <c r="A6" s="118"/>
      <c r="B6" s="112"/>
      <c r="C6" s="110"/>
      <c r="D6" s="110"/>
      <c r="E6" s="110"/>
      <c r="F6" s="110"/>
      <c r="G6" s="110"/>
      <c r="H6" s="110"/>
      <c r="I6" s="110"/>
      <c r="J6" s="110"/>
    </row>
    <row r="7" spans="1:10" s="32" customFormat="1" ht="18">
      <c r="A7" s="113"/>
      <c r="B7" s="119" t="s">
        <v>271</v>
      </c>
      <c r="C7" s="110"/>
      <c r="D7" s="110"/>
      <c r="E7" s="110"/>
      <c r="F7" s="110"/>
      <c r="G7" s="110"/>
      <c r="H7" s="110"/>
      <c r="I7" s="110"/>
      <c r="J7" s="110"/>
    </row>
    <row r="8" spans="1:10" s="32" customFormat="1" ht="3.75" customHeight="1">
      <c r="A8" s="117"/>
      <c r="B8" s="114"/>
      <c r="C8" s="110"/>
      <c r="D8" s="110"/>
      <c r="E8" s="110"/>
      <c r="F8" s="110"/>
      <c r="G8" s="110"/>
      <c r="H8" s="110"/>
      <c r="I8" s="110"/>
      <c r="J8" s="110"/>
    </row>
    <row r="9" spans="1:10" s="32" customFormat="1" ht="18">
      <c r="A9" s="115"/>
      <c r="B9" s="119" t="s">
        <v>272</v>
      </c>
      <c r="C9" s="110"/>
      <c r="D9" s="110"/>
      <c r="E9" s="110"/>
      <c r="F9" s="110"/>
      <c r="G9" s="110"/>
      <c r="H9" s="110"/>
      <c r="I9" s="110"/>
      <c r="J9" s="110"/>
    </row>
    <row r="10" spans="1:10" s="32" customFormat="1" ht="3.75" customHeight="1">
      <c r="A10" s="118"/>
      <c r="B10" s="114"/>
      <c r="C10" s="110"/>
      <c r="D10" s="110"/>
      <c r="E10" s="110"/>
      <c r="F10" s="110"/>
      <c r="G10" s="110"/>
      <c r="H10" s="110"/>
      <c r="I10" s="110"/>
      <c r="J10" s="110"/>
    </row>
    <row r="11" spans="1:10" s="32" customFormat="1" ht="18">
      <c r="A11" s="116"/>
      <c r="B11" s="119" t="s">
        <v>270</v>
      </c>
      <c r="C11" s="110"/>
      <c r="D11" s="110"/>
      <c r="E11" s="110"/>
      <c r="F11" s="110"/>
      <c r="G11" s="110"/>
      <c r="H11" s="110"/>
      <c r="I11" s="110"/>
      <c r="J11" s="110"/>
    </row>
    <row r="12" spans="1:10" s="32" customFormat="1" ht="13.5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7" ht="18">
      <c r="A13" s="304" t="s">
        <v>259</v>
      </c>
      <c r="B13" s="305"/>
      <c r="C13" s="305"/>
      <c r="D13" s="305"/>
      <c r="E13" s="305"/>
      <c r="F13" s="305"/>
      <c r="G13" s="306"/>
    </row>
    <row r="14" spans="1:7" ht="38.25">
      <c r="A14" s="42" t="s">
        <v>131</v>
      </c>
      <c r="B14" s="44" t="s">
        <v>106</v>
      </c>
      <c r="C14" s="43" t="s">
        <v>237</v>
      </c>
      <c r="D14" s="170" t="s">
        <v>238</v>
      </c>
      <c r="E14" s="170" t="s">
        <v>132</v>
      </c>
      <c r="F14" s="170" t="s">
        <v>126</v>
      </c>
      <c r="G14" s="171" t="s">
        <v>239</v>
      </c>
    </row>
    <row r="15" spans="1:7" ht="25.5">
      <c r="A15" s="59" t="s">
        <v>133</v>
      </c>
      <c r="B15" s="43" t="s">
        <v>108</v>
      </c>
      <c r="C15" s="47"/>
      <c r="D15" s="45">
        <v>200</v>
      </c>
      <c r="E15" s="52"/>
      <c r="F15" s="172">
        <f>C15*E15</f>
        <v>0</v>
      </c>
      <c r="G15" s="173" t="str">
        <f>IF(E15&gt;D15,"OFFERTA NON VALIDA!!!","OFFERTA VALIDA")</f>
        <v>OFFERTA VALIDA</v>
      </c>
    </row>
    <row r="16" spans="1:7" ht="25.5">
      <c r="A16" s="59" t="s">
        <v>135</v>
      </c>
      <c r="B16" s="43" t="s">
        <v>108</v>
      </c>
      <c r="C16" s="47"/>
      <c r="D16" s="45">
        <v>100</v>
      </c>
      <c r="E16" s="52"/>
      <c r="F16" s="172">
        <f aca="true" t="shared" si="0" ref="F16:F29">C16*E16</f>
        <v>0</v>
      </c>
      <c r="G16" s="173" t="str">
        <f aca="true" t="shared" si="1" ref="G16:G30">IF(E16&gt;D16,"OFFERTA NON VALIDA!!!","OFFERTA VALIDA")</f>
        <v>OFFERTA VALIDA</v>
      </c>
    </row>
    <row r="17" spans="1:7" ht="25.5" customHeight="1">
      <c r="A17" s="59" t="s">
        <v>134</v>
      </c>
      <c r="B17" s="43" t="s">
        <v>108</v>
      </c>
      <c r="C17" s="47"/>
      <c r="D17" s="45">
        <v>250</v>
      </c>
      <c r="E17" s="52"/>
      <c r="F17" s="172">
        <f t="shared" si="0"/>
        <v>0</v>
      </c>
      <c r="G17" s="173" t="str">
        <f t="shared" si="1"/>
        <v>OFFERTA VALIDA</v>
      </c>
    </row>
    <row r="18" spans="1:7" ht="25.5" customHeight="1">
      <c r="A18" s="59" t="s">
        <v>136</v>
      </c>
      <c r="B18" s="43" t="s">
        <v>108</v>
      </c>
      <c r="C18" s="47"/>
      <c r="D18" s="45">
        <v>20</v>
      </c>
      <c r="E18" s="52"/>
      <c r="F18" s="172">
        <f t="shared" si="0"/>
        <v>0</v>
      </c>
      <c r="G18" s="173" t="str">
        <f t="shared" si="1"/>
        <v>OFFERTA VALIDA</v>
      </c>
    </row>
    <row r="19" spans="1:7" ht="25.5" customHeight="1">
      <c r="A19" s="59" t="s">
        <v>137</v>
      </c>
      <c r="B19" s="43" t="s">
        <v>108</v>
      </c>
      <c r="C19" s="47"/>
      <c r="D19" s="45">
        <v>120</v>
      </c>
      <c r="E19" s="52"/>
      <c r="F19" s="172">
        <f t="shared" si="0"/>
        <v>0</v>
      </c>
      <c r="G19" s="173" t="str">
        <f t="shared" si="1"/>
        <v>OFFERTA VALIDA</v>
      </c>
    </row>
    <row r="20" spans="1:7" ht="14.25">
      <c r="A20" s="59" t="s">
        <v>138</v>
      </c>
      <c r="B20" s="43" t="s">
        <v>108</v>
      </c>
      <c r="C20" s="47"/>
      <c r="D20" s="45">
        <v>100</v>
      </c>
      <c r="E20" s="52"/>
      <c r="F20" s="172">
        <f t="shared" si="0"/>
        <v>0</v>
      </c>
      <c r="G20" s="173" t="str">
        <f t="shared" si="1"/>
        <v>OFFERTA VALIDA</v>
      </c>
    </row>
    <row r="21" spans="1:7" ht="25.5">
      <c r="A21" s="59" t="s">
        <v>139</v>
      </c>
      <c r="B21" s="43" t="s">
        <v>108</v>
      </c>
      <c r="C21" s="47"/>
      <c r="D21" s="45">
        <v>100</v>
      </c>
      <c r="E21" s="52"/>
      <c r="F21" s="172">
        <f t="shared" si="0"/>
        <v>0</v>
      </c>
      <c r="G21" s="173" t="str">
        <f t="shared" si="1"/>
        <v>OFFERTA VALIDA</v>
      </c>
    </row>
    <row r="22" spans="1:7" ht="25.5">
      <c r="A22" s="59" t="s">
        <v>140</v>
      </c>
      <c r="B22" s="43" t="s">
        <v>108</v>
      </c>
      <c r="C22" s="47"/>
      <c r="D22" s="45">
        <v>80</v>
      </c>
      <c r="E22" s="52"/>
      <c r="F22" s="172">
        <f t="shared" si="0"/>
        <v>0</v>
      </c>
      <c r="G22" s="173" t="str">
        <f t="shared" si="1"/>
        <v>OFFERTA VALIDA</v>
      </c>
    </row>
    <row r="23" spans="1:7" ht="25.5">
      <c r="A23" s="59" t="s">
        <v>141</v>
      </c>
      <c r="B23" s="43" t="s">
        <v>112</v>
      </c>
      <c r="C23" s="47"/>
      <c r="D23" s="45">
        <v>130</v>
      </c>
      <c r="E23" s="52"/>
      <c r="F23" s="172">
        <f t="shared" si="0"/>
        <v>0</v>
      </c>
      <c r="G23" s="173" t="str">
        <f t="shared" si="1"/>
        <v>OFFERTA VALIDA</v>
      </c>
    </row>
    <row r="24" spans="1:7" ht="14.25">
      <c r="A24" s="59" t="s">
        <v>127</v>
      </c>
      <c r="B24" s="43" t="s">
        <v>108</v>
      </c>
      <c r="C24" s="47"/>
      <c r="D24" s="45">
        <v>450</v>
      </c>
      <c r="E24" s="52"/>
      <c r="F24" s="172">
        <f t="shared" si="0"/>
        <v>0</v>
      </c>
      <c r="G24" s="173" t="str">
        <f t="shared" si="1"/>
        <v>OFFERTA VALIDA</v>
      </c>
    </row>
    <row r="25" spans="1:7" ht="12.75">
      <c r="A25" s="59" t="s">
        <v>128</v>
      </c>
      <c r="B25" s="43" t="s">
        <v>129</v>
      </c>
      <c r="C25" s="47"/>
      <c r="D25" s="45">
        <v>225</v>
      </c>
      <c r="E25" s="52"/>
      <c r="F25" s="172">
        <f t="shared" si="0"/>
        <v>0</v>
      </c>
      <c r="G25" s="173" t="str">
        <f t="shared" si="1"/>
        <v>OFFERTA VALIDA</v>
      </c>
    </row>
    <row r="26" spans="1:7" ht="12.75">
      <c r="A26" s="59" t="s">
        <v>130</v>
      </c>
      <c r="B26" s="43" t="s">
        <v>129</v>
      </c>
      <c r="C26" s="47"/>
      <c r="D26" s="45">
        <v>185</v>
      </c>
      <c r="E26" s="52"/>
      <c r="F26" s="172">
        <f t="shared" si="0"/>
        <v>0</v>
      </c>
      <c r="G26" s="173" t="str">
        <f t="shared" si="1"/>
        <v>OFFERTA VALIDA</v>
      </c>
    </row>
    <row r="27" spans="1:7" ht="14.25">
      <c r="A27" s="59" t="s">
        <v>115</v>
      </c>
      <c r="B27" s="43" t="s">
        <v>108</v>
      </c>
      <c r="C27" s="47"/>
      <c r="D27" s="45">
        <v>1000</v>
      </c>
      <c r="E27" s="52"/>
      <c r="F27" s="172">
        <f t="shared" si="0"/>
        <v>0</v>
      </c>
      <c r="G27" s="173" t="str">
        <f t="shared" si="1"/>
        <v>OFFERTA VALIDA</v>
      </c>
    </row>
    <row r="28" spans="1:7" ht="12.75">
      <c r="A28" s="59" t="s">
        <v>162</v>
      </c>
      <c r="B28" s="43" t="s">
        <v>253</v>
      </c>
      <c r="C28" s="47"/>
      <c r="D28" s="45">
        <v>2200</v>
      </c>
      <c r="E28" s="52"/>
      <c r="F28" s="172">
        <f t="shared" si="0"/>
        <v>0</v>
      </c>
      <c r="G28" s="173" t="str">
        <f t="shared" si="1"/>
        <v>OFFERTA VALIDA</v>
      </c>
    </row>
    <row r="29" spans="1:7" ht="12.75">
      <c r="A29" s="59" t="s">
        <v>252</v>
      </c>
      <c r="B29" s="43" t="s">
        <v>253</v>
      </c>
      <c r="C29" s="47"/>
      <c r="D29" s="45">
        <v>2000</v>
      </c>
      <c r="E29" s="52"/>
      <c r="F29" s="172">
        <f t="shared" si="0"/>
        <v>0</v>
      </c>
      <c r="G29" s="173" t="str">
        <f t="shared" si="1"/>
        <v>OFFERTA VALIDA</v>
      </c>
    </row>
    <row r="30" spans="1:7" ht="12.75">
      <c r="A30" s="59" t="s">
        <v>163</v>
      </c>
      <c r="B30" s="43" t="s">
        <v>253</v>
      </c>
      <c r="C30" s="47"/>
      <c r="D30" s="45">
        <v>1700</v>
      </c>
      <c r="E30" s="52"/>
      <c r="F30" s="172">
        <f aca="true" t="shared" si="2" ref="F30:F38">C30*E30</f>
        <v>0</v>
      </c>
      <c r="G30" s="173" t="str">
        <f t="shared" si="1"/>
        <v>OFFERTA VALIDA</v>
      </c>
    </row>
    <row r="31" spans="1:7" ht="12.75">
      <c r="A31" s="233" t="s">
        <v>142</v>
      </c>
      <c r="B31" s="47"/>
      <c r="C31" s="47"/>
      <c r="D31" s="45"/>
      <c r="E31" s="52"/>
      <c r="F31" s="172">
        <f t="shared" si="2"/>
        <v>0</v>
      </c>
      <c r="G31" s="173"/>
    </row>
    <row r="32" spans="1:7" ht="12.75">
      <c r="A32" s="233" t="s">
        <v>142</v>
      </c>
      <c r="B32" s="47"/>
      <c r="C32" s="47"/>
      <c r="D32" s="45"/>
      <c r="E32" s="52"/>
      <c r="F32" s="172">
        <f t="shared" si="2"/>
        <v>0</v>
      </c>
      <c r="G32" s="173"/>
    </row>
    <row r="33" spans="1:7" ht="12.75">
      <c r="A33" s="233" t="s">
        <v>142</v>
      </c>
      <c r="B33" s="47"/>
      <c r="C33" s="47"/>
      <c r="D33" s="45"/>
      <c r="E33" s="52"/>
      <c r="F33" s="172">
        <f t="shared" si="2"/>
        <v>0</v>
      </c>
      <c r="G33" s="173"/>
    </row>
    <row r="34" spans="1:7" ht="12.75">
      <c r="A34" s="233" t="s">
        <v>142</v>
      </c>
      <c r="B34" s="47"/>
      <c r="C34" s="47"/>
      <c r="D34" s="45"/>
      <c r="E34" s="52"/>
      <c r="F34" s="172">
        <f t="shared" si="2"/>
        <v>0</v>
      </c>
      <c r="G34" s="173"/>
    </row>
    <row r="35" spans="1:7" ht="12.75">
      <c r="A35" s="233" t="s">
        <v>142</v>
      </c>
      <c r="B35" s="47"/>
      <c r="C35" s="47"/>
      <c r="D35" s="45"/>
      <c r="E35" s="52"/>
      <c r="F35" s="172">
        <f t="shared" si="2"/>
        <v>0</v>
      </c>
      <c r="G35" s="173"/>
    </row>
    <row r="36" spans="1:7" ht="12.75">
      <c r="A36" s="233" t="s">
        <v>142</v>
      </c>
      <c r="B36" s="47"/>
      <c r="C36" s="47"/>
      <c r="D36" s="45"/>
      <c r="E36" s="52"/>
      <c r="F36" s="172">
        <f t="shared" si="2"/>
        <v>0</v>
      </c>
      <c r="G36" s="173"/>
    </row>
    <row r="37" spans="1:7" ht="12.75">
      <c r="A37" s="233" t="s">
        <v>142</v>
      </c>
      <c r="B37" s="47"/>
      <c r="C37" s="47"/>
      <c r="D37" s="45"/>
      <c r="E37" s="52"/>
      <c r="F37" s="172">
        <f t="shared" si="2"/>
        <v>0</v>
      </c>
      <c r="G37" s="173"/>
    </row>
    <row r="38" spans="1:7" ht="13.5" thickBot="1">
      <c r="A38" s="234" t="s">
        <v>142</v>
      </c>
      <c r="B38" s="53"/>
      <c r="C38" s="53"/>
      <c r="D38" s="36"/>
      <c r="E38" s="54"/>
      <c r="F38" s="172">
        <f t="shared" si="2"/>
        <v>0</v>
      </c>
      <c r="G38" s="174"/>
    </row>
    <row r="39" spans="1:7" ht="24.75" customHeight="1" thickBot="1">
      <c r="A39" s="307" t="s">
        <v>149</v>
      </c>
      <c r="B39" s="308"/>
      <c r="C39" s="308"/>
      <c r="D39" s="308"/>
      <c r="E39" s="309"/>
      <c r="F39" s="175">
        <f>SUM(F15:F38)</f>
        <v>0</v>
      </c>
      <c r="G39" s="176"/>
    </row>
    <row r="40" spans="1:7" ht="12.75">
      <c r="A40" s="34"/>
      <c r="B40" s="34"/>
      <c r="C40" s="34"/>
      <c r="D40" s="34"/>
      <c r="E40" s="34"/>
      <c r="F40" s="34"/>
      <c r="G40" s="34"/>
    </row>
    <row r="41" spans="1:7" ht="12.75">
      <c r="A41" s="34" t="s">
        <v>249</v>
      </c>
      <c r="B41" s="34"/>
      <c r="C41" s="34"/>
      <c r="D41" s="34"/>
      <c r="E41" s="34"/>
      <c r="F41" s="34"/>
      <c r="G41" s="34"/>
    </row>
    <row r="42" spans="1:7" ht="12.75">
      <c r="A42" s="34"/>
      <c r="B42" s="34"/>
      <c r="C42" s="34"/>
      <c r="D42" s="34"/>
      <c r="E42" s="34"/>
      <c r="F42" s="34"/>
      <c r="G42" s="34"/>
    </row>
    <row r="43" spans="1:7" ht="13.5" thickBot="1">
      <c r="A43" s="34"/>
      <c r="B43" s="34"/>
      <c r="C43" s="34"/>
      <c r="D43" s="34"/>
      <c r="E43" s="34"/>
      <c r="F43" s="34"/>
      <c r="G43" s="34"/>
    </row>
    <row r="44" spans="1:7" ht="18">
      <c r="A44" s="304" t="s">
        <v>258</v>
      </c>
      <c r="B44" s="305"/>
      <c r="C44" s="305"/>
      <c r="D44" s="305"/>
      <c r="E44" s="305"/>
      <c r="F44" s="305"/>
      <c r="G44" s="306"/>
    </row>
    <row r="45" spans="1:7" ht="38.25">
      <c r="A45" s="42" t="s">
        <v>131</v>
      </c>
      <c r="B45" s="44" t="s">
        <v>106</v>
      </c>
      <c r="C45" s="43" t="s">
        <v>125</v>
      </c>
      <c r="D45" s="170" t="s">
        <v>143</v>
      </c>
      <c r="E45" s="170" t="s">
        <v>132</v>
      </c>
      <c r="F45" s="170" t="s">
        <v>126</v>
      </c>
      <c r="G45" s="171" t="s">
        <v>144</v>
      </c>
    </row>
    <row r="46" spans="1:7" ht="25.5">
      <c r="A46" s="59" t="s">
        <v>133</v>
      </c>
      <c r="B46" s="43" t="s">
        <v>108</v>
      </c>
      <c r="C46" s="47"/>
      <c r="D46" s="45">
        <v>200</v>
      </c>
      <c r="E46" s="52"/>
      <c r="F46" s="172">
        <f>C46*E46</f>
        <v>0</v>
      </c>
      <c r="G46" s="173" t="str">
        <f>IF(E46&gt;D46,"OFFERTA NON VALIDA!!!","OFFERTA VALIDA")</f>
        <v>OFFERTA VALIDA</v>
      </c>
    </row>
    <row r="47" spans="1:7" ht="25.5">
      <c r="A47" s="59" t="s">
        <v>135</v>
      </c>
      <c r="B47" s="43" t="s">
        <v>108</v>
      </c>
      <c r="C47" s="47"/>
      <c r="D47" s="45">
        <v>100</v>
      </c>
      <c r="E47" s="52"/>
      <c r="F47" s="172">
        <f aca="true" t="shared" si="3" ref="F47:F69">C47*E47</f>
        <v>0</v>
      </c>
      <c r="G47" s="173" t="str">
        <f aca="true" t="shared" si="4" ref="G47:G61">IF(E47&gt;D47,"OFFERTA NON VALIDA!!!","OFFERTA VALIDA")</f>
        <v>OFFERTA VALIDA</v>
      </c>
    </row>
    <row r="48" spans="1:7" ht="25.5">
      <c r="A48" s="59" t="s">
        <v>134</v>
      </c>
      <c r="B48" s="43" t="s">
        <v>108</v>
      </c>
      <c r="C48" s="47"/>
      <c r="D48" s="45">
        <v>250</v>
      </c>
      <c r="E48" s="52"/>
      <c r="F48" s="172">
        <f t="shared" si="3"/>
        <v>0</v>
      </c>
      <c r="G48" s="173" t="str">
        <f t="shared" si="4"/>
        <v>OFFERTA VALIDA</v>
      </c>
    </row>
    <row r="49" spans="1:7" ht="25.5">
      <c r="A49" s="59" t="s">
        <v>136</v>
      </c>
      <c r="B49" s="43" t="s">
        <v>108</v>
      </c>
      <c r="C49" s="47"/>
      <c r="D49" s="45">
        <v>20</v>
      </c>
      <c r="E49" s="52"/>
      <c r="F49" s="172">
        <f t="shared" si="3"/>
        <v>0</v>
      </c>
      <c r="G49" s="173" t="str">
        <f t="shared" si="4"/>
        <v>OFFERTA VALIDA</v>
      </c>
    </row>
    <row r="50" spans="1:7" ht="25.5">
      <c r="A50" s="59" t="s">
        <v>137</v>
      </c>
      <c r="B50" s="43" t="s">
        <v>108</v>
      </c>
      <c r="C50" s="47"/>
      <c r="D50" s="45">
        <v>120</v>
      </c>
      <c r="E50" s="52"/>
      <c r="F50" s="172">
        <f t="shared" si="3"/>
        <v>0</v>
      </c>
      <c r="G50" s="173" t="str">
        <f t="shared" si="4"/>
        <v>OFFERTA VALIDA</v>
      </c>
    </row>
    <row r="51" spans="1:7" ht="14.25">
      <c r="A51" s="59" t="s">
        <v>138</v>
      </c>
      <c r="B51" s="43" t="s">
        <v>108</v>
      </c>
      <c r="C51" s="47"/>
      <c r="D51" s="45">
        <v>100</v>
      </c>
      <c r="E51" s="52"/>
      <c r="F51" s="172">
        <f t="shared" si="3"/>
        <v>0</v>
      </c>
      <c r="G51" s="173" t="str">
        <f t="shared" si="4"/>
        <v>OFFERTA VALIDA</v>
      </c>
    </row>
    <row r="52" spans="1:7" ht="25.5">
      <c r="A52" s="59" t="s">
        <v>139</v>
      </c>
      <c r="B52" s="43" t="s">
        <v>108</v>
      </c>
      <c r="C52" s="47"/>
      <c r="D52" s="45">
        <v>100</v>
      </c>
      <c r="E52" s="52"/>
      <c r="F52" s="172">
        <f t="shared" si="3"/>
        <v>0</v>
      </c>
      <c r="G52" s="173" t="str">
        <f t="shared" si="4"/>
        <v>OFFERTA VALIDA</v>
      </c>
    </row>
    <row r="53" spans="1:7" ht="25.5">
      <c r="A53" s="59" t="s">
        <v>140</v>
      </c>
      <c r="B53" s="43" t="s">
        <v>108</v>
      </c>
      <c r="C53" s="47"/>
      <c r="D53" s="45">
        <v>80</v>
      </c>
      <c r="E53" s="52"/>
      <c r="F53" s="172">
        <f t="shared" si="3"/>
        <v>0</v>
      </c>
      <c r="G53" s="173" t="str">
        <f t="shared" si="4"/>
        <v>OFFERTA VALIDA</v>
      </c>
    </row>
    <row r="54" spans="1:7" ht="25.5">
      <c r="A54" s="59" t="s">
        <v>141</v>
      </c>
      <c r="B54" s="43" t="s">
        <v>112</v>
      </c>
      <c r="C54" s="47"/>
      <c r="D54" s="45">
        <v>130</v>
      </c>
      <c r="E54" s="52"/>
      <c r="F54" s="172">
        <f t="shared" si="3"/>
        <v>0</v>
      </c>
      <c r="G54" s="173" t="str">
        <f t="shared" si="4"/>
        <v>OFFERTA VALIDA</v>
      </c>
    </row>
    <row r="55" spans="1:7" ht="14.25">
      <c r="A55" s="59" t="s">
        <v>127</v>
      </c>
      <c r="B55" s="43" t="s">
        <v>108</v>
      </c>
      <c r="C55" s="47"/>
      <c r="D55" s="45">
        <v>450</v>
      </c>
      <c r="E55" s="52"/>
      <c r="F55" s="172">
        <f t="shared" si="3"/>
        <v>0</v>
      </c>
      <c r="G55" s="173" t="str">
        <f t="shared" si="4"/>
        <v>OFFERTA VALIDA</v>
      </c>
    </row>
    <row r="56" spans="1:7" ht="12.75">
      <c r="A56" s="59" t="s">
        <v>128</v>
      </c>
      <c r="B56" s="43" t="s">
        <v>129</v>
      </c>
      <c r="C56" s="47"/>
      <c r="D56" s="45">
        <v>225</v>
      </c>
      <c r="E56" s="52"/>
      <c r="F56" s="172">
        <f t="shared" si="3"/>
        <v>0</v>
      </c>
      <c r="G56" s="173" t="str">
        <f t="shared" si="4"/>
        <v>OFFERTA VALIDA</v>
      </c>
    </row>
    <row r="57" spans="1:7" ht="12.75">
      <c r="A57" s="59" t="s">
        <v>130</v>
      </c>
      <c r="B57" s="43" t="s">
        <v>129</v>
      </c>
      <c r="C57" s="47"/>
      <c r="D57" s="45">
        <v>185</v>
      </c>
      <c r="E57" s="52"/>
      <c r="F57" s="172">
        <f t="shared" si="3"/>
        <v>0</v>
      </c>
      <c r="G57" s="173" t="str">
        <f t="shared" si="4"/>
        <v>OFFERTA VALIDA</v>
      </c>
    </row>
    <row r="58" spans="1:7" ht="14.25">
      <c r="A58" s="59" t="s">
        <v>115</v>
      </c>
      <c r="B58" s="43" t="s">
        <v>108</v>
      </c>
      <c r="C58" s="47"/>
      <c r="D58" s="45">
        <v>1000</v>
      </c>
      <c r="E58" s="52"/>
      <c r="F58" s="172">
        <f t="shared" si="3"/>
        <v>0</v>
      </c>
      <c r="G58" s="173" t="str">
        <f t="shared" si="4"/>
        <v>OFFERTA VALIDA</v>
      </c>
    </row>
    <row r="59" spans="1:7" ht="12.75">
      <c r="A59" s="59" t="s">
        <v>162</v>
      </c>
      <c r="B59" s="43" t="s">
        <v>253</v>
      </c>
      <c r="C59" s="47"/>
      <c r="D59" s="45">
        <v>2200</v>
      </c>
      <c r="E59" s="52"/>
      <c r="F59" s="172">
        <f t="shared" si="3"/>
        <v>0</v>
      </c>
      <c r="G59" s="173" t="str">
        <f t="shared" si="4"/>
        <v>OFFERTA VALIDA</v>
      </c>
    </row>
    <row r="60" spans="1:7" ht="12.75">
      <c r="A60" s="59" t="s">
        <v>252</v>
      </c>
      <c r="B60" s="43" t="s">
        <v>253</v>
      </c>
      <c r="C60" s="47"/>
      <c r="D60" s="45">
        <v>2000</v>
      </c>
      <c r="E60" s="52"/>
      <c r="F60" s="172">
        <f t="shared" si="3"/>
        <v>0</v>
      </c>
      <c r="G60" s="173" t="str">
        <f t="shared" si="4"/>
        <v>OFFERTA VALIDA</v>
      </c>
    </row>
    <row r="61" spans="1:7" ht="12.75">
      <c r="A61" s="59" t="s">
        <v>163</v>
      </c>
      <c r="B61" s="43" t="s">
        <v>253</v>
      </c>
      <c r="C61" s="47"/>
      <c r="D61" s="45">
        <v>1700</v>
      </c>
      <c r="E61" s="52"/>
      <c r="F61" s="172">
        <f t="shared" si="3"/>
        <v>0</v>
      </c>
      <c r="G61" s="173" t="str">
        <f t="shared" si="4"/>
        <v>OFFERTA VALIDA</v>
      </c>
    </row>
    <row r="62" spans="1:7" ht="12.75">
      <c r="A62" s="233" t="s">
        <v>142</v>
      </c>
      <c r="B62" s="47"/>
      <c r="C62" s="47"/>
      <c r="D62" s="45"/>
      <c r="E62" s="52"/>
      <c r="F62" s="172">
        <f t="shared" si="3"/>
        <v>0</v>
      </c>
      <c r="G62" s="173"/>
    </row>
    <row r="63" spans="1:7" ht="12.75">
      <c r="A63" s="233" t="s">
        <v>142</v>
      </c>
      <c r="B63" s="47"/>
      <c r="C63" s="47"/>
      <c r="D63" s="45"/>
      <c r="E63" s="52"/>
      <c r="F63" s="172">
        <f t="shared" si="3"/>
        <v>0</v>
      </c>
      <c r="G63" s="173"/>
    </row>
    <row r="64" spans="1:7" ht="12.75">
      <c r="A64" s="233" t="s">
        <v>142</v>
      </c>
      <c r="B64" s="47"/>
      <c r="C64" s="47"/>
      <c r="D64" s="45"/>
      <c r="E64" s="52"/>
      <c r="F64" s="172">
        <f t="shared" si="3"/>
        <v>0</v>
      </c>
      <c r="G64" s="173"/>
    </row>
    <row r="65" spans="1:7" ht="12.75">
      <c r="A65" s="233" t="s">
        <v>142</v>
      </c>
      <c r="B65" s="47"/>
      <c r="C65" s="47"/>
      <c r="D65" s="45"/>
      <c r="E65" s="52"/>
      <c r="F65" s="172">
        <f t="shared" si="3"/>
        <v>0</v>
      </c>
      <c r="G65" s="173"/>
    </row>
    <row r="66" spans="1:7" ht="12.75">
      <c r="A66" s="233" t="s">
        <v>142</v>
      </c>
      <c r="B66" s="47"/>
      <c r="C66" s="47"/>
      <c r="D66" s="45"/>
      <c r="E66" s="52"/>
      <c r="F66" s="172">
        <f t="shared" si="3"/>
        <v>0</v>
      </c>
      <c r="G66" s="173"/>
    </row>
    <row r="67" spans="1:7" ht="12.75">
      <c r="A67" s="233" t="s">
        <v>142</v>
      </c>
      <c r="B67" s="47"/>
      <c r="C67" s="47"/>
      <c r="D67" s="45"/>
      <c r="E67" s="52"/>
      <c r="F67" s="172">
        <f t="shared" si="3"/>
        <v>0</v>
      </c>
      <c r="G67" s="173"/>
    </row>
    <row r="68" spans="1:7" ht="12.75">
      <c r="A68" s="233" t="s">
        <v>142</v>
      </c>
      <c r="B68" s="47"/>
      <c r="C68" s="47"/>
      <c r="D68" s="45"/>
      <c r="E68" s="52"/>
      <c r="F68" s="172">
        <f t="shared" si="3"/>
        <v>0</v>
      </c>
      <c r="G68" s="173"/>
    </row>
    <row r="69" spans="1:7" ht="13.5" thickBot="1">
      <c r="A69" s="234" t="s">
        <v>142</v>
      </c>
      <c r="B69" s="53"/>
      <c r="C69" s="53"/>
      <c r="D69" s="36"/>
      <c r="E69" s="54"/>
      <c r="F69" s="172">
        <f t="shared" si="3"/>
        <v>0</v>
      </c>
      <c r="G69" s="174"/>
    </row>
    <row r="70" spans="1:7" ht="18.75" thickBot="1">
      <c r="A70" s="307" t="s">
        <v>150</v>
      </c>
      <c r="B70" s="308"/>
      <c r="C70" s="308"/>
      <c r="D70" s="308"/>
      <c r="E70" s="309"/>
      <c r="F70" s="175">
        <f>SUM(F46:F69)</f>
        <v>0</v>
      </c>
      <c r="G70" s="176"/>
    </row>
    <row r="71" spans="1:7" ht="12.75">
      <c r="A71" s="34"/>
      <c r="B71" s="34"/>
      <c r="C71" s="34"/>
      <c r="D71" s="34"/>
      <c r="E71" s="34"/>
      <c r="F71" s="34"/>
      <c r="G71" s="34"/>
    </row>
    <row r="72" spans="1:7" ht="12.75">
      <c r="A72" s="34" t="s">
        <v>249</v>
      </c>
      <c r="B72" s="34"/>
      <c r="C72" s="34"/>
      <c r="D72" s="34"/>
      <c r="E72" s="34"/>
      <c r="F72" s="34"/>
      <c r="G72" s="34"/>
    </row>
    <row r="73" spans="1:7" ht="12.75">
      <c r="A73" s="34"/>
      <c r="B73" s="34"/>
      <c r="C73" s="34"/>
      <c r="D73" s="34"/>
      <c r="E73" s="34"/>
      <c r="F73" s="34"/>
      <c r="G73" s="34"/>
    </row>
    <row r="74" spans="1:7" ht="13.5" thickBot="1">
      <c r="A74" s="34"/>
      <c r="B74" s="34"/>
      <c r="C74" s="34"/>
      <c r="D74" s="34"/>
      <c r="E74" s="34"/>
      <c r="F74" s="34"/>
      <c r="G74" s="34"/>
    </row>
    <row r="75" spans="1:7" ht="18">
      <c r="A75" s="304" t="s">
        <v>255</v>
      </c>
      <c r="B75" s="305"/>
      <c r="C75" s="305"/>
      <c r="D75" s="305"/>
      <c r="E75" s="305"/>
      <c r="F75" s="305"/>
      <c r="G75" s="306"/>
    </row>
    <row r="76" spans="1:7" ht="38.25">
      <c r="A76" s="42" t="s">
        <v>131</v>
      </c>
      <c r="B76" s="44" t="s">
        <v>106</v>
      </c>
      <c r="C76" s="43" t="s">
        <v>125</v>
      </c>
      <c r="D76" s="170" t="s">
        <v>143</v>
      </c>
      <c r="E76" s="170" t="s">
        <v>132</v>
      </c>
      <c r="F76" s="170" t="s">
        <v>126</v>
      </c>
      <c r="G76" s="171" t="s">
        <v>144</v>
      </c>
    </row>
    <row r="77" spans="1:7" ht="25.5">
      <c r="A77" s="59" t="s">
        <v>133</v>
      </c>
      <c r="B77" s="43" t="s">
        <v>108</v>
      </c>
      <c r="C77" s="47"/>
      <c r="D77" s="45">
        <v>200</v>
      </c>
      <c r="E77" s="52"/>
      <c r="F77" s="172">
        <f>C77*E77</f>
        <v>0</v>
      </c>
      <c r="G77" s="173" t="str">
        <f>IF(E77&gt;D77,"OFFERTA NON VALIDA!!!","OFFERTA VALIDA")</f>
        <v>OFFERTA VALIDA</v>
      </c>
    </row>
    <row r="78" spans="1:7" ht="25.5">
      <c r="A78" s="59" t="s">
        <v>135</v>
      </c>
      <c r="B78" s="43" t="s">
        <v>108</v>
      </c>
      <c r="C78" s="47"/>
      <c r="D78" s="45">
        <v>100</v>
      </c>
      <c r="E78" s="52"/>
      <c r="F78" s="172">
        <f aca="true" t="shared" si="5" ref="F78:F100">C78*E78</f>
        <v>0</v>
      </c>
      <c r="G78" s="173" t="str">
        <f aca="true" t="shared" si="6" ref="G78:G92">IF(E78&gt;D78,"OFFERTA NON VALIDA!!!","OFFERTA VALIDA")</f>
        <v>OFFERTA VALIDA</v>
      </c>
    </row>
    <row r="79" spans="1:7" ht="25.5">
      <c r="A79" s="59" t="s">
        <v>134</v>
      </c>
      <c r="B79" s="43" t="s">
        <v>108</v>
      </c>
      <c r="C79" s="47"/>
      <c r="D79" s="45">
        <v>250</v>
      </c>
      <c r="E79" s="52"/>
      <c r="F79" s="172">
        <f t="shared" si="5"/>
        <v>0</v>
      </c>
      <c r="G79" s="173" t="str">
        <f t="shared" si="6"/>
        <v>OFFERTA VALIDA</v>
      </c>
    </row>
    <row r="80" spans="1:7" ht="25.5">
      <c r="A80" s="59" t="s">
        <v>136</v>
      </c>
      <c r="B80" s="43" t="s">
        <v>108</v>
      </c>
      <c r="C80" s="47"/>
      <c r="D80" s="45">
        <v>20</v>
      </c>
      <c r="E80" s="52"/>
      <c r="F80" s="172">
        <f t="shared" si="5"/>
        <v>0</v>
      </c>
      <c r="G80" s="173" t="str">
        <f t="shared" si="6"/>
        <v>OFFERTA VALIDA</v>
      </c>
    </row>
    <row r="81" spans="1:7" ht="25.5">
      <c r="A81" s="59" t="s">
        <v>137</v>
      </c>
      <c r="B81" s="43" t="s">
        <v>108</v>
      </c>
      <c r="C81" s="47"/>
      <c r="D81" s="45">
        <v>120</v>
      </c>
      <c r="E81" s="52"/>
      <c r="F81" s="172">
        <f t="shared" si="5"/>
        <v>0</v>
      </c>
      <c r="G81" s="173" t="str">
        <f t="shared" si="6"/>
        <v>OFFERTA VALIDA</v>
      </c>
    </row>
    <row r="82" spans="1:7" ht="14.25">
      <c r="A82" s="59" t="s">
        <v>138</v>
      </c>
      <c r="B82" s="43" t="s">
        <v>108</v>
      </c>
      <c r="C82" s="47"/>
      <c r="D82" s="45">
        <v>100</v>
      </c>
      <c r="E82" s="52"/>
      <c r="F82" s="172">
        <f t="shared" si="5"/>
        <v>0</v>
      </c>
      <c r="G82" s="173" t="str">
        <f t="shared" si="6"/>
        <v>OFFERTA VALIDA</v>
      </c>
    </row>
    <row r="83" spans="1:7" ht="25.5">
      <c r="A83" s="59" t="s">
        <v>139</v>
      </c>
      <c r="B83" s="43" t="s">
        <v>108</v>
      </c>
      <c r="C83" s="47"/>
      <c r="D83" s="45">
        <v>100</v>
      </c>
      <c r="E83" s="52"/>
      <c r="F83" s="172">
        <f t="shared" si="5"/>
        <v>0</v>
      </c>
      <c r="G83" s="173" t="str">
        <f t="shared" si="6"/>
        <v>OFFERTA VALIDA</v>
      </c>
    </row>
    <row r="84" spans="1:7" ht="25.5">
      <c r="A84" s="59" t="s">
        <v>140</v>
      </c>
      <c r="B84" s="43" t="s">
        <v>108</v>
      </c>
      <c r="C84" s="47"/>
      <c r="D84" s="45">
        <v>80</v>
      </c>
      <c r="E84" s="52"/>
      <c r="F84" s="172">
        <f t="shared" si="5"/>
        <v>0</v>
      </c>
      <c r="G84" s="173" t="str">
        <f t="shared" si="6"/>
        <v>OFFERTA VALIDA</v>
      </c>
    </row>
    <row r="85" spans="1:7" ht="25.5">
      <c r="A85" s="59" t="s">
        <v>141</v>
      </c>
      <c r="B85" s="43" t="s">
        <v>112</v>
      </c>
      <c r="C85" s="47"/>
      <c r="D85" s="45">
        <v>130</v>
      </c>
      <c r="E85" s="52"/>
      <c r="F85" s="172">
        <f t="shared" si="5"/>
        <v>0</v>
      </c>
      <c r="G85" s="173" t="str">
        <f t="shared" si="6"/>
        <v>OFFERTA VALIDA</v>
      </c>
    </row>
    <row r="86" spans="1:7" ht="14.25">
      <c r="A86" s="59" t="s">
        <v>127</v>
      </c>
      <c r="B86" s="43" t="s">
        <v>108</v>
      </c>
      <c r="C86" s="47"/>
      <c r="D86" s="45">
        <v>450</v>
      </c>
      <c r="E86" s="52"/>
      <c r="F86" s="172">
        <f t="shared" si="5"/>
        <v>0</v>
      </c>
      <c r="G86" s="173" t="str">
        <f t="shared" si="6"/>
        <v>OFFERTA VALIDA</v>
      </c>
    </row>
    <row r="87" spans="1:7" ht="12.75">
      <c r="A87" s="59" t="s">
        <v>128</v>
      </c>
      <c r="B87" s="43" t="s">
        <v>129</v>
      </c>
      <c r="C87" s="47"/>
      <c r="D87" s="45">
        <v>225</v>
      </c>
      <c r="E87" s="52"/>
      <c r="F87" s="172">
        <f t="shared" si="5"/>
        <v>0</v>
      </c>
      <c r="G87" s="173" t="str">
        <f t="shared" si="6"/>
        <v>OFFERTA VALIDA</v>
      </c>
    </row>
    <row r="88" spans="1:7" ht="12.75">
      <c r="A88" s="59" t="s">
        <v>130</v>
      </c>
      <c r="B88" s="43" t="s">
        <v>129</v>
      </c>
      <c r="C88" s="47"/>
      <c r="D88" s="45">
        <v>185</v>
      </c>
      <c r="E88" s="52"/>
      <c r="F88" s="172">
        <f t="shared" si="5"/>
        <v>0</v>
      </c>
      <c r="G88" s="173" t="str">
        <f t="shared" si="6"/>
        <v>OFFERTA VALIDA</v>
      </c>
    </row>
    <row r="89" spans="1:7" ht="14.25">
      <c r="A89" s="59" t="s">
        <v>115</v>
      </c>
      <c r="B89" s="43" t="s">
        <v>108</v>
      </c>
      <c r="C89" s="47"/>
      <c r="D89" s="45">
        <v>1000</v>
      </c>
      <c r="E89" s="52"/>
      <c r="F89" s="172">
        <f t="shared" si="5"/>
        <v>0</v>
      </c>
      <c r="G89" s="173" t="str">
        <f t="shared" si="6"/>
        <v>OFFERTA VALIDA</v>
      </c>
    </row>
    <row r="90" spans="1:7" ht="12.75">
      <c r="A90" s="59" t="s">
        <v>162</v>
      </c>
      <c r="B90" s="43" t="s">
        <v>253</v>
      </c>
      <c r="C90" s="47"/>
      <c r="D90" s="45">
        <v>2200</v>
      </c>
      <c r="E90" s="52"/>
      <c r="F90" s="172">
        <f t="shared" si="5"/>
        <v>0</v>
      </c>
      <c r="G90" s="173" t="str">
        <f t="shared" si="6"/>
        <v>OFFERTA VALIDA</v>
      </c>
    </row>
    <row r="91" spans="1:7" ht="12.75">
      <c r="A91" s="59" t="s">
        <v>252</v>
      </c>
      <c r="B91" s="43" t="s">
        <v>253</v>
      </c>
      <c r="C91" s="47"/>
      <c r="D91" s="45">
        <v>2000</v>
      </c>
      <c r="E91" s="52"/>
      <c r="F91" s="172">
        <f t="shared" si="5"/>
        <v>0</v>
      </c>
      <c r="G91" s="173" t="str">
        <f t="shared" si="6"/>
        <v>OFFERTA VALIDA</v>
      </c>
    </row>
    <row r="92" spans="1:7" ht="12.75">
      <c r="A92" s="59" t="s">
        <v>163</v>
      </c>
      <c r="B92" s="43" t="s">
        <v>253</v>
      </c>
      <c r="C92" s="47"/>
      <c r="D92" s="45">
        <v>1700</v>
      </c>
      <c r="E92" s="52"/>
      <c r="F92" s="172">
        <f t="shared" si="5"/>
        <v>0</v>
      </c>
      <c r="G92" s="173" t="str">
        <f t="shared" si="6"/>
        <v>OFFERTA VALIDA</v>
      </c>
    </row>
    <row r="93" spans="1:7" ht="12.75">
      <c r="A93" s="233" t="s">
        <v>142</v>
      </c>
      <c r="B93" s="47"/>
      <c r="C93" s="47"/>
      <c r="D93" s="45"/>
      <c r="E93" s="52"/>
      <c r="F93" s="172">
        <f t="shared" si="5"/>
        <v>0</v>
      </c>
      <c r="G93" s="173"/>
    </row>
    <row r="94" spans="1:7" ht="12.75">
      <c r="A94" s="233" t="s">
        <v>142</v>
      </c>
      <c r="B94" s="47"/>
      <c r="C94" s="47"/>
      <c r="D94" s="45"/>
      <c r="E94" s="52"/>
      <c r="F94" s="172">
        <f t="shared" si="5"/>
        <v>0</v>
      </c>
      <c r="G94" s="173"/>
    </row>
    <row r="95" spans="1:7" ht="12.75">
      <c r="A95" s="233" t="s">
        <v>142</v>
      </c>
      <c r="B95" s="47"/>
      <c r="C95" s="47"/>
      <c r="D95" s="45"/>
      <c r="E95" s="52"/>
      <c r="F95" s="172">
        <f t="shared" si="5"/>
        <v>0</v>
      </c>
      <c r="G95" s="173"/>
    </row>
    <row r="96" spans="1:7" ht="12.75">
      <c r="A96" s="233" t="s">
        <v>142</v>
      </c>
      <c r="B96" s="47"/>
      <c r="C96" s="47"/>
      <c r="D96" s="45"/>
      <c r="E96" s="52"/>
      <c r="F96" s="172">
        <f t="shared" si="5"/>
        <v>0</v>
      </c>
      <c r="G96" s="173"/>
    </row>
    <row r="97" spans="1:7" ht="12.75">
      <c r="A97" s="233" t="s">
        <v>142</v>
      </c>
      <c r="B97" s="47"/>
      <c r="C97" s="47"/>
      <c r="D97" s="45"/>
      <c r="E97" s="52"/>
      <c r="F97" s="172">
        <f t="shared" si="5"/>
        <v>0</v>
      </c>
      <c r="G97" s="173"/>
    </row>
    <row r="98" spans="1:7" ht="12.75">
      <c r="A98" s="233" t="s">
        <v>142</v>
      </c>
      <c r="B98" s="47"/>
      <c r="C98" s="47"/>
      <c r="D98" s="45"/>
      <c r="E98" s="52"/>
      <c r="F98" s="172">
        <f t="shared" si="5"/>
        <v>0</v>
      </c>
      <c r="G98" s="173"/>
    </row>
    <row r="99" spans="1:7" ht="12.75">
      <c r="A99" s="233" t="s">
        <v>142</v>
      </c>
      <c r="B99" s="47"/>
      <c r="C99" s="47"/>
      <c r="D99" s="45"/>
      <c r="E99" s="52"/>
      <c r="F99" s="172">
        <f t="shared" si="5"/>
        <v>0</v>
      </c>
      <c r="G99" s="173"/>
    </row>
    <row r="100" spans="1:7" ht="13.5" thickBot="1">
      <c r="A100" s="234" t="s">
        <v>142</v>
      </c>
      <c r="B100" s="53"/>
      <c r="C100" s="53"/>
      <c r="D100" s="36"/>
      <c r="E100" s="54"/>
      <c r="F100" s="177">
        <f t="shared" si="5"/>
        <v>0</v>
      </c>
      <c r="G100" s="174"/>
    </row>
    <row r="101" spans="1:7" ht="18.75" thickBot="1">
      <c r="A101" s="307" t="s">
        <v>151</v>
      </c>
      <c r="B101" s="308"/>
      <c r="C101" s="308"/>
      <c r="D101" s="308"/>
      <c r="E101" s="309"/>
      <c r="F101" s="175">
        <f>SUM(F77:F100)</f>
        <v>0</v>
      </c>
      <c r="G101" s="176"/>
    </row>
    <row r="102" spans="1:7" ht="12.75">
      <c r="A102" s="34"/>
      <c r="B102" s="34"/>
      <c r="C102" s="34"/>
      <c r="D102" s="34"/>
      <c r="E102" s="34"/>
      <c r="F102" s="34"/>
      <c r="G102" s="34"/>
    </row>
    <row r="103" spans="1:7" ht="12.75">
      <c r="A103" s="34" t="s">
        <v>249</v>
      </c>
      <c r="B103" s="34"/>
      <c r="C103" s="34"/>
      <c r="D103" s="34"/>
      <c r="E103" s="34"/>
      <c r="F103" s="34"/>
      <c r="G103" s="34"/>
    </row>
    <row r="104" spans="1:7" ht="12.75">
      <c r="A104" s="34"/>
      <c r="B104" s="34"/>
      <c r="C104" s="34"/>
      <c r="D104" s="34"/>
      <c r="E104" s="34"/>
      <c r="F104" s="34"/>
      <c r="G104" s="34"/>
    </row>
    <row r="105" spans="1:7" ht="13.5" thickBot="1">
      <c r="A105" s="34"/>
      <c r="B105" s="34"/>
      <c r="C105" s="34"/>
      <c r="D105" s="34"/>
      <c r="E105" s="34"/>
      <c r="F105" s="34"/>
      <c r="G105" s="34"/>
    </row>
    <row r="106" spans="1:7" ht="18">
      <c r="A106" s="304" t="s">
        <v>256</v>
      </c>
      <c r="B106" s="305"/>
      <c r="C106" s="305"/>
      <c r="D106" s="305"/>
      <c r="E106" s="305"/>
      <c r="F106" s="305"/>
      <c r="G106" s="306"/>
    </row>
    <row r="107" spans="1:7" ht="38.25">
      <c r="A107" s="42" t="s">
        <v>131</v>
      </c>
      <c r="B107" s="44" t="s">
        <v>106</v>
      </c>
      <c r="C107" s="43" t="s">
        <v>125</v>
      </c>
      <c r="D107" s="170" t="s">
        <v>143</v>
      </c>
      <c r="E107" s="170" t="s">
        <v>132</v>
      </c>
      <c r="F107" s="170" t="s">
        <v>126</v>
      </c>
      <c r="G107" s="171" t="s">
        <v>144</v>
      </c>
    </row>
    <row r="108" spans="1:7" ht="25.5">
      <c r="A108" s="59" t="s">
        <v>133</v>
      </c>
      <c r="B108" s="43" t="s">
        <v>108</v>
      </c>
      <c r="C108" s="47"/>
      <c r="D108" s="45">
        <v>200</v>
      </c>
      <c r="E108" s="52"/>
      <c r="F108" s="172">
        <f>C108*E108</f>
        <v>0</v>
      </c>
      <c r="G108" s="173" t="str">
        <f>IF(E108&gt;D108,"OFFERTA NON VALIDA!!!","OFFERTA VALIDA")</f>
        <v>OFFERTA VALIDA</v>
      </c>
    </row>
    <row r="109" spans="1:7" ht="25.5">
      <c r="A109" s="59" t="s">
        <v>135</v>
      </c>
      <c r="B109" s="43" t="s">
        <v>108</v>
      </c>
      <c r="C109" s="47"/>
      <c r="D109" s="45">
        <v>100</v>
      </c>
      <c r="E109" s="52"/>
      <c r="F109" s="172">
        <f aca="true" t="shared" si="7" ref="F109:F131">C109*E109</f>
        <v>0</v>
      </c>
      <c r="G109" s="173" t="str">
        <f aca="true" t="shared" si="8" ref="G109:G123">IF(E109&gt;D109,"OFFERTA NON VALIDA!!!","OFFERTA VALIDA")</f>
        <v>OFFERTA VALIDA</v>
      </c>
    </row>
    <row r="110" spans="1:7" ht="25.5">
      <c r="A110" s="59" t="s">
        <v>134</v>
      </c>
      <c r="B110" s="43" t="s">
        <v>108</v>
      </c>
      <c r="C110" s="47"/>
      <c r="D110" s="45">
        <v>250</v>
      </c>
      <c r="E110" s="52"/>
      <c r="F110" s="172">
        <f t="shared" si="7"/>
        <v>0</v>
      </c>
      <c r="G110" s="173" t="str">
        <f t="shared" si="8"/>
        <v>OFFERTA VALIDA</v>
      </c>
    </row>
    <row r="111" spans="1:7" ht="25.5">
      <c r="A111" s="59" t="s">
        <v>136</v>
      </c>
      <c r="B111" s="43" t="s">
        <v>108</v>
      </c>
      <c r="C111" s="47"/>
      <c r="D111" s="45">
        <v>20</v>
      </c>
      <c r="E111" s="52"/>
      <c r="F111" s="172">
        <f t="shared" si="7"/>
        <v>0</v>
      </c>
      <c r="G111" s="173" t="str">
        <f t="shared" si="8"/>
        <v>OFFERTA VALIDA</v>
      </c>
    </row>
    <row r="112" spans="1:7" ht="25.5">
      <c r="A112" s="59" t="s">
        <v>137</v>
      </c>
      <c r="B112" s="43" t="s">
        <v>108</v>
      </c>
      <c r="C112" s="47"/>
      <c r="D112" s="45">
        <v>120</v>
      </c>
      <c r="E112" s="52"/>
      <c r="F112" s="172">
        <f t="shared" si="7"/>
        <v>0</v>
      </c>
      <c r="G112" s="173" t="str">
        <f t="shared" si="8"/>
        <v>OFFERTA VALIDA</v>
      </c>
    </row>
    <row r="113" spans="1:7" ht="14.25">
      <c r="A113" s="59" t="s">
        <v>138</v>
      </c>
      <c r="B113" s="43" t="s">
        <v>108</v>
      </c>
      <c r="C113" s="47"/>
      <c r="D113" s="45">
        <v>100</v>
      </c>
      <c r="E113" s="52"/>
      <c r="F113" s="172">
        <f t="shared" si="7"/>
        <v>0</v>
      </c>
      <c r="G113" s="173" t="str">
        <f t="shared" si="8"/>
        <v>OFFERTA VALIDA</v>
      </c>
    </row>
    <row r="114" spans="1:7" ht="25.5">
      <c r="A114" s="59" t="s">
        <v>139</v>
      </c>
      <c r="B114" s="43" t="s">
        <v>108</v>
      </c>
      <c r="C114" s="47"/>
      <c r="D114" s="45">
        <v>100</v>
      </c>
      <c r="E114" s="52"/>
      <c r="F114" s="172">
        <f t="shared" si="7"/>
        <v>0</v>
      </c>
      <c r="G114" s="173" t="str">
        <f t="shared" si="8"/>
        <v>OFFERTA VALIDA</v>
      </c>
    </row>
    <row r="115" spans="1:7" ht="25.5">
      <c r="A115" s="59" t="s">
        <v>140</v>
      </c>
      <c r="B115" s="43" t="s">
        <v>108</v>
      </c>
      <c r="C115" s="47"/>
      <c r="D115" s="45">
        <v>80</v>
      </c>
      <c r="E115" s="52"/>
      <c r="F115" s="172">
        <f t="shared" si="7"/>
        <v>0</v>
      </c>
      <c r="G115" s="173" t="str">
        <f t="shared" si="8"/>
        <v>OFFERTA VALIDA</v>
      </c>
    </row>
    <row r="116" spans="1:7" ht="25.5">
      <c r="A116" s="59" t="s">
        <v>141</v>
      </c>
      <c r="B116" s="43" t="s">
        <v>112</v>
      </c>
      <c r="C116" s="47"/>
      <c r="D116" s="45">
        <v>130</v>
      </c>
      <c r="E116" s="52"/>
      <c r="F116" s="172">
        <f t="shared" si="7"/>
        <v>0</v>
      </c>
      <c r="G116" s="173" t="str">
        <f t="shared" si="8"/>
        <v>OFFERTA VALIDA</v>
      </c>
    </row>
    <row r="117" spans="1:7" ht="14.25">
      <c r="A117" s="59" t="s">
        <v>127</v>
      </c>
      <c r="B117" s="43" t="s">
        <v>108</v>
      </c>
      <c r="C117" s="47"/>
      <c r="D117" s="45">
        <v>450</v>
      </c>
      <c r="E117" s="52"/>
      <c r="F117" s="172">
        <f t="shared" si="7"/>
        <v>0</v>
      </c>
      <c r="G117" s="173" t="str">
        <f t="shared" si="8"/>
        <v>OFFERTA VALIDA</v>
      </c>
    </row>
    <row r="118" spans="1:7" ht="12.75">
      <c r="A118" s="59" t="s">
        <v>128</v>
      </c>
      <c r="B118" s="43" t="s">
        <v>129</v>
      </c>
      <c r="C118" s="47"/>
      <c r="D118" s="45">
        <v>225</v>
      </c>
      <c r="E118" s="52"/>
      <c r="F118" s="172">
        <f t="shared" si="7"/>
        <v>0</v>
      </c>
      <c r="G118" s="173" t="str">
        <f t="shared" si="8"/>
        <v>OFFERTA VALIDA</v>
      </c>
    </row>
    <row r="119" spans="1:7" ht="12.75">
      <c r="A119" s="59" t="s">
        <v>130</v>
      </c>
      <c r="B119" s="43" t="s">
        <v>129</v>
      </c>
      <c r="C119" s="47"/>
      <c r="D119" s="45">
        <v>185</v>
      </c>
      <c r="E119" s="52"/>
      <c r="F119" s="172">
        <f t="shared" si="7"/>
        <v>0</v>
      </c>
      <c r="G119" s="173" t="str">
        <f t="shared" si="8"/>
        <v>OFFERTA VALIDA</v>
      </c>
    </row>
    <row r="120" spans="1:7" ht="14.25">
      <c r="A120" s="59" t="s">
        <v>115</v>
      </c>
      <c r="B120" s="43" t="s">
        <v>108</v>
      </c>
      <c r="C120" s="47"/>
      <c r="D120" s="45">
        <v>1000</v>
      </c>
      <c r="E120" s="52"/>
      <c r="F120" s="172">
        <f t="shared" si="7"/>
        <v>0</v>
      </c>
      <c r="G120" s="173" t="str">
        <f t="shared" si="8"/>
        <v>OFFERTA VALIDA</v>
      </c>
    </row>
    <row r="121" spans="1:7" ht="12.75">
      <c r="A121" s="59" t="s">
        <v>162</v>
      </c>
      <c r="B121" s="43" t="s">
        <v>253</v>
      </c>
      <c r="C121" s="47"/>
      <c r="D121" s="45">
        <v>2200</v>
      </c>
      <c r="E121" s="52"/>
      <c r="F121" s="172">
        <f t="shared" si="7"/>
        <v>0</v>
      </c>
      <c r="G121" s="173" t="str">
        <f t="shared" si="8"/>
        <v>OFFERTA VALIDA</v>
      </c>
    </row>
    <row r="122" spans="1:7" ht="12.75">
      <c r="A122" s="59" t="s">
        <v>252</v>
      </c>
      <c r="B122" s="43" t="s">
        <v>253</v>
      </c>
      <c r="C122" s="47"/>
      <c r="D122" s="45">
        <v>2000</v>
      </c>
      <c r="E122" s="52"/>
      <c r="F122" s="172">
        <f t="shared" si="7"/>
        <v>0</v>
      </c>
      <c r="G122" s="173" t="str">
        <f t="shared" si="8"/>
        <v>OFFERTA VALIDA</v>
      </c>
    </row>
    <row r="123" spans="1:7" ht="12.75">
      <c r="A123" s="59" t="s">
        <v>163</v>
      </c>
      <c r="B123" s="43" t="s">
        <v>253</v>
      </c>
      <c r="C123" s="47"/>
      <c r="D123" s="45">
        <v>1700</v>
      </c>
      <c r="E123" s="52"/>
      <c r="F123" s="172">
        <f t="shared" si="7"/>
        <v>0</v>
      </c>
      <c r="G123" s="173" t="str">
        <f t="shared" si="8"/>
        <v>OFFERTA VALIDA</v>
      </c>
    </row>
    <row r="124" spans="1:7" ht="12.75">
      <c r="A124" s="233" t="s">
        <v>142</v>
      </c>
      <c r="B124" s="47"/>
      <c r="C124" s="47"/>
      <c r="D124" s="45"/>
      <c r="E124" s="52"/>
      <c r="F124" s="172">
        <f t="shared" si="7"/>
        <v>0</v>
      </c>
      <c r="G124" s="173"/>
    </row>
    <row r="125" spans="1:7" ht="12.75">
      <c r="A125" s="233" t="s">
        <v>142</v>
      </c>
      <c r="B125" s="47"/>
      <c r="C125" s="47"/>
      <c r="D125" s="45"/>
      <c r="E125" s="52"/>
      <c r="F125" s="172">
        <f t="shared" si="7"/>
        <v>0</v>
      </c>
      <c r="G125" s="173"/>
    </row>
    <row r="126" spans="1:7" ht="12.75">
      <c r="A126" s="233" t="s">
        <v>142</v>
      </c>
      <c r="B126" s="47"/>
      <c r="C126" s="47"/>
      <c r="D126" s="45"/>
      <c r="E126" s="52"/>
      <c r="F126" s="172">
        <f t="shared" si="7"/>
        <v>0</v>
      </c>
      <c r="G126" s="173"/>
    </row>
    <row r="127" spans="1:7" ht="12.75">
      <c r="A127" s="233" t="s">
        <v>142</v>
      </c>
      <c r="B127" s="47"/>
      <c r="C127" s="47"/>
      <c r="D127" s="45"/>
      <c r="E127" s="52"/>
      <c r="F127" s="172">
        <f t="shared" si="7"/>
        <v>0</v>
      </c>
      <c r="G127" s="173"/>
    </row>
    <row r="128" spans="1:7" ht="12.75">
      <c r="A128" s="233" t="s">
        <v>142</v>
      </c>
      <c r="B128" s="47"/>
      <c r="C128" s="47"/>
      <c r="D128" s="45"/>
      <c r="E128" s="52"/>
      <c r="F128" s="172">
        <f t="shared" si="7"/>
        <v>0</v>
      </c>
      <c r="G128" s="173"/>
    </row>
    <row r="129" spans="1:7" ht="12.75">
      <c r="A129" s="233" t="s">
        <v>142</v>
      </c>
      <c r="B129" s="47"/>
      <c r="C129" s="47"/>
      <c r="D129" s="45"/>
      <c r="E129" s="52"/>
      <c r="F129" s="172">
        <f t="shared" si="7"/>
        <v>0</v>
      </c>
      <c r="G129" s="173"/>
    </row>
    <row r="130" spans="1:7" ht="12.75">
      <c r="A130" s="233" t="s">
        <v>142</v>
      </c>
      <c r="B130" s="47"/>
      <c r="C130" s="47"/>
      <c r="D130" s="45"/>
      <c r="E130" s="52"/>
      <c r="F130" s="172">
        <f t="shared" si="7"/>
        <v>0</v>
      </c>
      <c r="G130" s="173"/>
    </row>
    <row r="131" spans="1:7" ht="13.5" thickBot="1">
      <c r="A131" s="234" t="s">
        <v>142</v>
      </c>
      <c r="B131" s="53"/>
      <c r="C131" s="53"/>
      <c r="D131" s="36"/>
      <c r="E131" s="54"/>
      <c r="F131" s="177">
        <f t="shared" si="7"/>
        <v>0</v>
      </c>
      <c r="G131" s="174"/>
    </row>
    <row r="132" spans="1:7" ht="18.75" thickBot="1">
      <c r="A132" s="307" t="s">
        <v>152</v>
      </c>
      <c r="B132" s="308"/>
      <c r="C132" s="308"/>
      <c r="D132" s="308"/>
      <c r="E132" s="309"/>
      <c r="F132" s="175">
        <f>SUM(F108:F131)</f>
        <v>0</v>
      </c>
      <c r="G132" s="176"/>
    </row>
    <row r="133" spans="1:7" ht="12.75">
      <c r="A133" s="34"/>
      <c r="B133" s="34"/>
      <c r="C133" s="34"/>
      <c r="D133" s="34"/>
      <c r="E133" s="34"/>
      <c r="F133" s="34"/>
      <c r="G133" s="34"/>
    </row>
    <row r="134" spans="1:7" ht="12.75">
      <c r="A134" s="34" t="s">
        <v>249</v>
      </c>
      <c r="B134" s="34"/>
      <c r="C134" s="34"/>
      <c r="D134" s="34"/>
      <c r="E134" s="34"/>
      <c r="F134" s="34"/>
      <c r="G134" s="34"/>
    </row>
    <row r="135" spans="1:7" ht="12.75">
      <c r="A135" s="34"/>
      <c r="B135" s="34"/>
      <c r="C135" s="34"/>
      <c r="D135" s="34"/>
      <c r="E135" s="34"/>
      <c r="F135" s="34"/>
      <c r="G135" s="34"/>
    </row>
    <row r="136" spans="1:7" ht="13.5" thickBot="1">
      <c r="A136" s="34"/>
      <c r="B136" s="34"/>
      <c r="C136" s="34"/>
      <c r="D136" s="34"/>
      <c r="E136" s="34"/>
      <c r="F136" s="34"/>
      <c r="G136" s="34"/>
    </row>
    <row r="137" spans="1:7" ht="18">
      <c r="A137" s="304" t="s">
        <v>257</v>
      </c>
      <c r="B137" s="305"/>
      <c r="C137" s="305"/>
      <c r="D137" s="305"/>
      <c r="E137" s="305"/>
      <c r="F137" s="305"/>
      <c r="G137" s="306"/>
    </row>
    <row r="138" spans="1:7" ht="38.25">
      <c r="A138" s="42" t="s">
        <v>131</v>
      </c>
      <c r="B138" s="44" t="s">
        <v>106</v>
      </c>
      <c r="C138" s="43" t="s">
        <v>125</v>
      </c>
      <c r="D138" s="170" t="s">
        <v>143</v>
      </c>
      <c r="E138" s="170" t="s">
        <v>132</v>
      </c>
      <c r="F138" s="170" t="s">
        <v>126</v>
      </c>
      <c r="G138" s="171" t="s">
        <v>144</v>
      </c>
    </row>
    <row r="139" spans="1:7" ht="25.5">
      <c r="A139" s="59" t="s">
        <v>133</v>
      </c>
      <c r="B139" s="43" t="s">
        <v>108</v>
      </c>
      <c r="C139" s="47"/>
      <c r="D139" s="45">
        <v>200</v>
      </c>
      <c r="E139" s="52"/>
      <c r="F139" s="172">
        <f>C139*E139</f>
        <v>0</v>
      </c>
      <c r="G139" s="173" t="str">
        <f>IF(E139&gt;D139,"OFFERTA NON VALIDA!!!","OFFERTA VALIDA")</f>
        <v>OFFERTA VALIDA</v>
      </c>
    </row>
    <row r="140" spans="1:7" ht="25.5">
      <c r="A140" s="59" t="s">
        <v>135</v>
      </c>
      <c r="B140" s="43" t="s">
        <v>108</v>
      </c>
      <c r="C140" s="47"/>
      <c r="D140" s="45">
        <v>100</v>
      </c>
      <c r="E140" s="52"/>
      <c r="F140" s="172">
        <f aca="true" t="shared" si="9" ref="F140:F162">C140*E140</f>
        <v>0</v>
      </c>
      <c r="G140" s="173" t="str">
        <f aca="true" t="shared" si="10" ref="G140:G154">IF(E140&gt;D140,"OFFERTA NON VALIDA!!!","OFFERTA VALIDA")</f>
        <v>OFFERTA VALIDA</v>
      </c>
    </row>
    <row r="141" spans="1:7" ht="25.5">
      <c r="A141" s="59" t="s">
        <v>134</v>
      </c>
      <c r="B141" s="43" t="s">
        <v>108</v>
      </c>
      <c r="C141" s="47"/>
      <c r="D141" s="45">
        <v>250</v>
      </c>
      <c r="E141" s="52"/>
      <c r="F141" s="172">
        <f t="shared" si="9"/>
        <v>0</v>
      </c>
      <c r="G141" s="173" t="str">
        <f t="shared" si="10"/>
        <v>OFFERTA VALIDA</v>
      </c>
    </row>
    <row r="142" spans="1:7" ht="25.5">
      <c r="A142" s="59" t="s">
        <v>136</v>
      </c>
      <c r="B142" s="43" t="s">
        <v>108</v>
      </c>
      <c r="C142" s="47"/>
      <c r="D142" s="45">
        <v>20</v>
      </c>
      <c r="E142" s="52"/>
      <c r="F142" s="172">
        <f t="shared" si="9"/>
        <v>0</v>
      </c>
      <c r="G142" s="173" t="str">
        <f t="shared" si="10"/>
        <v>OFFERTA VALIDA</v>
      </c>
    </row>
    <row r="143" spans="1:7" ht="25.5">
      <c r="A143" s="59" t="s">
        <v>137</v>
      </c>
      <c r="B143" s="43" t="s">
        <v>108</v>
      </c>
      <c r="C143" s="47"/>
      <c r="D143" s="45">
        <v>120</v>
      </c>
      <c r="E143" s="52"/>
      <c r="F143" s="172">
        <f t="shared" si="9"/>
        <v>0</v>
      </c>
      <c r="G143" s="173" t="str">
        <f t="shared" si="10"/>
        <v>OFFERTA VALIDA</v>
      </c>
    </row>
    <row r="144" spans="1:7" ht="14.25">
      <c r="A144" s="59" t="s">
        <v>138</v>
      </c>
      <c r="B144" s="43" t="s">
        <v>108</v>
      </c>
      <c r="C144" s="47"/>
      <c r="D144" s="45">
        <v>100</v>
      </c>
      <c r="E144" s="52"/>
      <c r="F144" s="172">
        <f t="shared" si="9"/>
        <v>0</v>
      </c>
      <c r="G144" s="173" t="str">
        <f t="shared" si="10"/>
        <v>OFFERTA VALIDA</v>
      </c>
    </row>
    <row r="145" spans="1:7" ht="25.5">
      <c r="A145" s="59" t="s">
        <v>139</v>
      </c>
      <c r="B145" s="43" t="s">
        <v>108</v>
      </c>
      <c r="C145" s="47"/>
      <c r="D145" s="45">
        <v>100</v>
      </c>
      <c r="E145" s="52"/>
      <c r="F145" s="172">
        <f t="shared" si="9"/>
        <v>0</v>
      </c>
      <c r="G145" s="173" t="str">
        <f t="shared" si="10"/>
        <v>OFFERTA VALIDA</v>
      </c>
    </row>
    <row r="146" spans="1:7" ht="25.5">
      <c r="A146" s="59" t="s">
        <v>140</v>
      </c>
      <c r="B146" s="43" t="s">
        <v>108</v>
      </c>
      <c r="C146" s="47"/>
      <c r="D146" s="45">
        <v>80</v>
      </c>
      <c r="E146" s="52"/>
      <c r="F146" s="172">
        <f t="shared" si="9"/>
        <v>0</v>
      </c>
      <c r="G146" s="173" t="str">
        <f t="shared" si="10"/>
        <v>OFFERTA VALIDA</v>
      </c>
    </row>
    <row r="147" spans="1:7" ht="25.5">
      <c r="A147" s="59" t="s">
        <v>141</v>
      </c>
      <c r="B147" s="43" t="s">
        <v>112</v>
      </c>
      <c r="C147" s="47"/>
      <c r="D147" s="45">
        <v>130</v>
      </c>
      <c r="E147" s="52"/>
      <c r="F147" s="172">
        <f t="shared" si="9"/>
        <v>0</v>
      </c>
      <c r="G147" s="173" t="str">
        <f t="shared" si="10"/>
        <v>OFFERTA VALIDA</v>
      </c>
    </row>
    <row r="148" spans="1:7" ht="14.25">
      <c r="A148" s="59" t="s">
        <v>127</v>
      </c>
      <c r="B148" s="43" t="s">
        <v>108</v>
      </c>
      <c r="C148" s="47"/>
      <c r="D148" s="45">
        <v>450</v>
      </c>
      <c r="E148" s="52"/>
      <c r="F148" s="172">
        <f t="shared" si="9"/>
        <v>0</v>
      </c>
      <c r="G148" s="173" t="str">
        <f t="shared" si="10"/>
        <v>OFFERTA VALIDA</v>
      </c>
    </row>
    <row r="149" spans="1:7" ht="12.75">
      <c r="A149" s="59" t="s">
        <v>128</v>
      </c>
      <c r="B149" s="43" t="s">
        <v>129</v>
      </c>
      <c r="C149" s="47"/>
      <c r="D149" s="45">
        <v>225</v>
      </c>
      <c r="E149" s="52"/>
      <c r="F149" s="172">
        <f t="shared" si="9"/>
        <v>0</v>
      </c>
      <c r="G149" s="173" t="str">
        <f t="shared" si="10"/>
        <v>OFFERTA VALIDA</v>
      </c>
    </row>
    <row r="150" spans="1:7" ht="12.75">
      <c r="A150" s="59" t="s">
        <v>130</v>
      </c>
      <c r="B150" s="43" t="s">
        <v>129</v>
      </c>
      <c r="C150" s="47"/>
      <c r="D150" s="45">
        <v>185</v>
      </c>
      <c r="E150" s="52"/>
      <c r="F150" s="172">
        <f t="shared" si="9"/>
        <v>0</v>
      </c>
      <c r="G150" s="173" t="str">
        <f t="shared" si="10"/>
        <v>OFFERTA VALIDA</v>
      </c>
    </row>
    <row r="151" spans="1:7" ht="14.25">
      <c r="A151" s="59" t="s">
        <v>115</v>
      </c>
      <c r="B151" s="43" t="s">
        <v>108</v>
      </c>
      <c r="C151" s="47"/>
      <c r="D151" s="45">
        <v>1000</v>
      </c>
      <c r="E151" s="52"/>
      <c r="F151" s="172">
        <f t="shared" si="9"/>
        <v>0</v>
      </c>
      <c r="G151" s="173" t="str">
        <f t="shared" si="10"/>
        <v>OFFERTA VALIDA</v>
      </c>
    </row>
    <row r="152" spans="1:7" ht="12.75">
      <c r="A152" s="59" t="s">
        <v>162</v>
      </c>
      <c r="B152" s="43" t="s">
        <v>253</v>
      </c>
      <c r="C152" s="47"/>
      <c r="D152" s="45">
        <v>2200</v>
      </c>
      <c r="E152" s="52"/>
      <c r="F152" s="172">
        <f t="shared" si="9"/>
        <v>0</v>
      </c>
      <c r="G152" s="173" t="str">
        <f t="shared" si="10"/>
        <v>OFFERTA VALIDA</v>
      </c>
    </row>
    <row r="153" spans="1:7" ht="12.75">
      <c r="A153" s="59" t="s">
        <v>252</v>
      </c>
      <c r="B153" s="43" t="s">
        <v>253</v>
      </c>
      <c r="C153" s="47"/>
      <c r="D153" s="45">
        <v>2000</v>
      </c>
      <c r="E153" s="52"/>
      <c r="F153" s="172">
        <f t="shared" si="9"/>
        <v>0</v>
      </c>
      <c r="G153" s="173" t="str">
        <f t="shared" si="10"/>
        <v>OFFERTA VALIDA</v>
      </c>
    </row>
    <row r="154" spans="1:7" ht="12.75">
      <c r="A154" s="59" t="s">
        <v>163</v>
      </c>
      <c r="B154" s="43" t="s">
        <v>253</v>
      </c>
      <c r="C154" s="47"/>
      <c r="D154" s="45">
        <v>1700</v>
      </c>
      <c r="E154" s="52"/>
      <c r="F154" s="172">
        <f t="shared" si="9"/>
        <v>0</v>
      </c>
      <c r="G154" s="173" t="str">
        <f t="shared" si="10"/>
        <v>OFFERTA VALIDA</v>
      </c>
    </row>
    <row r="155" spans="1:7" ht="12.75">
      <c r="A155" s="233" t="s">
        <v>142</v>
      </c>
      <c r="B155" s="47"/>
      <c r="C155" s="47"/>
      <c r="D155" s="45"/>
      <c r="E155" s="52"/>
      <c r="F155" s="172">
        <f t="shared" si="9"/>
        <v>0</v>
      </c>
      <c r="G155" s="173"/>
    </row>
    <row r="156" spans="1:7" ht="12.75">
      <c r="A156" s="233" t="s">
        <v>142</v>
      </c>
      <c r="B156" s="47"/>
      <c r="C156" s="47"/>
      <c r="D156" s="45"/>
      <c r="E156" s="52"/>
      <c r="F156" s="172">
        <f t="shared" si="9"/>
        <v>0</v>
      </c>
      <c r="G156" s="173"/>
    </row>
    <row r="157" spans="1:7" ht="12.75">
      <c r="A157" s="233" t="s">
        <v>142</v>
      </c>
      <c r="B157" s="47"/>
      <c r="C157" s="47"/>
      <c r="D157" s="45"/>
      <c r="E157" s="52"/>
      <c r="F157" s="172">
        <f t="shared" si="9"/>
        <v>0</v>
      </c>
      <c r="G157" s="173"/>
    </row>
    <row r="158" spans="1:7" ht="12.75">
      <c r="A158" s="233" t="s">
        <v>142</v>
      </c>
      <c r="B158" s="47"/>
      <c r="C158" s="47"/>
      <c r="D158" s="45"/>
      <c r="E158" s="52"/>
      <c r="F158" s="172">
        <f t="shared" si="9"/>
        <v>0</v>
      </c>
      <c r="G158" s="173"/>
    </row>
    <row r="159" spans="1:7" ht="12.75">
      <c r="A159" s="233" t="s">
        <v>142</v>
      </c>
      <c r="B159" s="47"/>
      <c r="C159" s="47"/>
      <c r="D159" s="45"/>
      <c r="E159" s="52"/>
      <c r="F159" s="172">
        <f t="shared" si="9"/>
        <v>0</v>
      </c>
      <c r="G159" s="173"/>
    </row>
    <row r="160" spans="1:7" ht="12.75">
      <c r="A160" s="233" t="s">
        <v>142</v>
      </c>
      <c r="B160" s="47"/>
      <c r="C160" s="47"/>
      <c r="D160" s="45"/>
      <c r="E160" s="52"/>
      <c r="F160" s="172">
        <f t="shared" si="9"/>
        <v>0</v>
      </c>
      <c r="G160" s="173"/>
    </row>
    <row r="161" spans="1:7" ht="12.75">
      <c r="A161" s="233" t="s">
        <v>142</v>
      </c>
      <c r="B161" s="47"/>
      <c r="C161" s="47"/>
      <c r="D161" s="45"/>
      <c r="E161" s="52"/>
      <c r="F161" s="172">
        <f t="shared" si="9"/>
        <v>0</v>
      </c>
      <c r="G161" s="173"/>
    </row>
    <row r="162" spans="1:7" ht="13.5" thickBot="1">
      <c r="A162" s="234" t="s">
        <v>142</v>
      </c>
      <c r="B162" s="53"/>
      <c r="C162" s="53"/>
      <c r="D162" s="36"/>
      <c r="E162" s="54"/>
      <c r="F162" s="177">
        <f t="shared" si="9"/>
        <v>0</v>
      </c>
      <c r="G162" s="174"/>
    </row>
    <row r="163" spans="1:7" ht="18.75" thickBot="1">
      <c r="A163" s="307" t="s">
        <v>153</v>
      </c>
      <c r="B163" s="308"/>
      <c r="C163" s="308"/>
      <c r="D163" s="308"/>
      <c r="E163" s="309"/>
      <c r="F163" s="175">
        <f>SUM(F139:F162)</f>
        <v>0</v>
      </c>
      <c r="G163" s="176"/>
    </row>
    <row r="164" spans="1:7" ht="12.75">
      <c r="A164" s="34"/>
      <c r="B164" s="34"/>
      <c r="C164" s="34"/>
      <c r="D164" s="34"/>
      <c r="E164" s="34"/>
      <c r="F164" s="34"/>
      <c r="G164" s="34"/>
    </row>
    <row r="165" spans="1:7" ht="13.5" thickBot="1">
      <c r="A165" s="34"/>
      <c r="B165" s="34"/>
      <c r="C165" s="34"/>
      <c r="D165" s="34"/>
      <c r="E165" s="34"/>
      <c r="F165" s="34"/>
      <c r="G165" s="34"/>
    </row>
    <row r="166" spans="1:7" ht="24" thickBot="1">
      <c r="A166" s="311" t="s">
        <v>250</v>
      </c>
      <c r="B166" s="312"/>
      <c r="C166" s="312"/>
      <c r="D166" s="312"/>
      <c r="E166" s="312"/>
      <c r="F166" s="178">
        <f>F39+F70+F101+F132+F163</f>
        <v>0</v>
      </c>
      <c r="G166" s="34"/>
    </row>
    <row r="167" spans="1:7" ht="12.75">
      <c r="A167" s="34"/>
      <c r="B167" s="34"/>
      <c r="C167" s="34"/>
      <c r="D167" s="34"/>
      <c r="E167" s="34"/>
      <c r="F167" s="34"/>
      <c r="G167" s="34"/>
    </row>
    <row r="168" spans="1:7" ht="12.75">
      <c r="A168" s="34"/>
      <c r="B168" s="34"/>
      <c r="C168" s="34"/>
      <c r="D168" s="34"/>
      <c r="E168" s="34"/>
      <c r="F168" s="34"/>
      <c r="G168" s="34"/>
    </row>
    <row r="169" spans="1:7" ht="12.75">
      <c r="A169" s="124" t="s">
        <v>122</v>
      </c>
      <c r="B169" s="34"/>
      <c r="C169" s="34"/>
      <c r="D169" s="34"/>
      <c r="E169" s="34"/>
      <c r="F169" s="34"/>
      <c r="G169" s="34"/>
    </row>
    <row r="170" spans="1:7" ht="12.75">
      <c r="A170" s="124" t="s">
        <v>242</v>
      </c>
      <c r="B170" s="34"/>
      <c r="C170" s="34"/>
      <c r="D170" s="34"/>
      <c r="E170" s="34"/>
      <c r="F170" s="34"/>
      <c r="G170" s="34"/>
    </row>
    <row r="171" spans="1:7" ht="27.75" customHeight="1">
      <c r="A171" s="310" t="s">
        <v>241</v>
      </c>
      <c r="B171" s="310"/>
      <c r="C171" s="310"/>
      <c r="D171" s="310"/>
      <c r="E171" s="310"/>
      <c r="F171" s="310"/>
      <c r="G171" s="310"/>
    </row>
    <row r="172" spans="1:7" ht="12.75">
      <c r="A172" s="124" t="s">
        <v>240</v>
      </c>
      <c r="B172" s="34"/>
      <c r="C172" s="34"/>
      <c r="D172" s="34"/>
      <c r="E172" s="34"/>
      <c r="F172" s="34"/>
      <c r="G172" s="34"/>
    </row>
    <row r="173" spans="1:7" ht="12.75">
      <c r="A173" s="34"/>
      <c r="B173" s="34"/>
      <c r="C173" s="34"/>
      <c r="D173" s="34"/>
      <c r="E173" s="34"/>
      <c r="F173" s="34"/>
      <c r="G173" s="34"/>
    </row>
    <row r="174" spans="1:7" ht="12.75">
      <c r="A174" s="34"/>
      <c r="B174" s="34"/>
      <c r="C174" s="34"/>
      <c r="D174" s="34"/>
      <c r="E174" s="34"/>
      <c r="F174" s="34"/>
      <c r="G174" s="34"/>
    </row>
    <row r="175" spans="1:7" ht="12.75">
      <c r="A175" s="34"/>
      <c r="B175" s="34"/>
      <c r="C175" s="34"/>
      <c r="D175" s="34"/>
      <c r="E175" s="34"/>
      <c r="F175" s="34"/>
      <c r="G175" s="34"/>
    </row>
    <row r="176" spans="1:7" ht="12.75">
      <c r="A176" s="124" t="s">
        <v>248</v>
      </c>
      <c r="B176" s="34"/>
      <c r="C176" s="34"/>
      <c r="D176" s="34"/>
      <c r="E176" s="34"/>
      <c r="F176" s="34"/>
      <c r="G176" s="34"/>
    </row>
    <row r="177" spans="1:7" ht="12.75">
      <c r="A177" s="34"/>
      <c r="B177" s="34"/>
      <c r="C177" s="34"/>
      <c r="D177" s="34"/>
      <c r="E177" s="34"/>
      <c r="F177" s="34"/>
      <c r="G177" s="34"/>
    </row>
    <row r="178" spans="1:7" ht="12.75">
      <c r="A178" s="34"/>
      <c r="B178" s="34"/>
      <c r="C178" s="34"/>
      <c r="D178" s="34"/>
      <c r="E178" s="34"/>
      <c r="F178" s="34"/>
      <c r="G178" s="34"/>
    </row>
    <row r="179" spans="1:7" ht="12.75">
      <c r="A179" s="34"/>
      <c r="B179" s="34"/>
      <c r="C179" s="34"/>
      <c r="D179" s="34"/>
      <c r="E179" s="34"/>
      <c r="F179" s="34"/>
      <c r="G179" s="34"/>
    </row>
  </sheetData>
  <sheetProtection password="80D9" sheet="1" objects="1" scenarios="1"/>
  <mergeCells count="13">
    <mergeCell ref="A171:G171"/>
    <mergeCell ref="A163:E163"/>
    <mergeCell ref="A166:E166"/>
    <mergeCell ref="A70:E70"/>
    <mergeCell ref="A75:G75"/>
    <mergeCell ref="A101:E101"/>
    <mergeCell ref="A106:G106"/>
    <mergeCell ref="A132:E132"/>
    <mergeCell ref="A137:G137"/>
    <mergeCell ref="A13:G13"/>
    <mergeCell ref="A39:E39"/>
    <mergeCell ref="A1:G1"/>
    <mergeCell ref="A44:G44"/>
  </mergeCells>
  <printOptions/>
  <pageMargins left="0.7" right="0.33" top="0.75" bottom="0.75" header="0.3" footer="0.3"/>
  <pageSetup horizontalDpi="600" verticalDpi="600" orientation="landscape" paperSize="9" scale="66" r:id="rId1"/>
  <rowBreaks count="4" manualBreakCount="4">
    <brk id="43" max="6" man="1"/>
    <brk id="74" max="6" man="1"/>
    <brk id="105" max="6" man="1"/>
    <brk id="13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view="pageBreakPreview" zoomScale="85" zoomScaleSheetLayoutView="85" zoomScalePageLayoutView="0" workbookViewId="0" topLeftCell="A16">
      <selection activeCell="C29" sqref="C29"/>
    </sheetView>
  </sheetViews>
  <sheetFormatPr defaultColWidth="9.140625" defaultRowHeight="12.75"/>
  <cols>
    <col min="1" max="1" width="49.00390625" style="0" customWidth="1"/>
    <col min="2" max="2" width="43.421875" style="0" customWidth="1"/>
    <col min="3" max="3" width="26.7109375" style="0" customWidth="1"/>
    <col min="4" max="4" width="23.421875" style="0" customWidth="1"/>
    <col min="8" max="10" width="0" style="0" hidden="1" customWidth="1"/>
  </cols>
  <sheetData>
    <row r="1" spans="1:4" ht="18">
      <c r="A1" s="319" t="s">
        <v>181</v>
      </c>
      <c r="B1" s="320"/>
      <c r="C1" s="320"/>
      <c r="D1" s="320"/>
    </row>
    <row r="2" spans="1:10" s="111" customFormat="1" ht="18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s="32" customFormat="1" ht="18">
      <c r="A3" s="119" t="s">
        <v>264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s="32" customFormat="1" ht="3.75" customHeight="1">
      <c r="A4" s="112"/>
      <c r="B4" s="110"/>
      <c r="C4" s="110"/>
      <c r="D4" s="110"/>
      <c r="E4" s="110"/>
      <c r="F4" s="110"/>
      <c r="G4" s="110"/>
      <c r="H4" s="110"/>
      <c r="I4" s="110"/>
      <c r="J4" s="110"/>
    </row>
    <row r="5" spans="1:10" s="32" customFormat="1" ht="18">
      <c r="A5" s="123"/>
      <c r="B5" s="120" t="s">
        <v>269</v>
      </c>
      <c r="C5" s="110"/>
      <c r="D5" s="110"/>
      <c r="E5" s="110"/>
      <c r="F5" s="110"/>
      <c r="G5" s="110"/>
      <c r="H5" s="110"/>
      <c r="I5" s="110"/>
      <c r="J5" s="110"/>
    </row>
    <row r="6" spans="1:10" s="32" customFormat="1" ht="3.75" customHeight="1">
      <c r="A6" s="118"/>
      <c r="B6" s="112"/>
      <c r="C6" s="110"/>
      <c r="D6" s="110"/>
      <c r="E6" s="110"/>
      <c r="F6" s="110"/>
      <c r="G6" s="110"/>
      <c r="H6" s="110"/>
      <c r="I6" s="110"/>
      <c r="J6" s="110"/>
    </row>
    <row r="7" spans="1:10" s="32" customFormat="1" ht="18">
      <c r="A7" s="113"/>
      <c r="B7" s="119" t="s">
        <v>271</v>
      </c>
      <c r="C7" s="110"/>
      <c r="D7" s="110"/>
      <c r="E7" s="110"/>
      <c r="F7" s="110"/>
      <c r="G7" s="110"/>
      <c r="H7" s="110"/>
      <c r="I7" s="110"/>
      <c r="J7" s="110"/>
    </row>
    <row r="8" spans="1:10" s="32" customFormat="1" ht="3.75" customHeight="1">
      <c r="A8" s="117"/>
      <c r="B8" s="114"/>
      <c r="C8" s="110"/>
      <c r="D8" s="110"/>
      <c r="E8" s="110"/>
      <c r="F8" s="110"/>
      <c r="G8" s="110"/>
      <c r="H8" s="110"/>
      <c r="I8" s="110"/>
      <c r="J8" s="110"/>
    </row>
    <row r="9" spans="1:10" s="32" customFormat="1" ht="18">
      <c r="A9" s="115"/>
      <c r="B9" s="119" t="s">
        <v>272</v>
      </c>
      <c r="C9" s="110"/>
      <c r="D9" s="110"/>
      <c r="E9" s="110"/>
      <c r="F9" s="110"/>
      <c r="G9" s="110"/>
      <c r="H9" s="110"/>
      <c r="I9" s="110"/>
      <c r="J9" s="110"/>
    </row>
    <row r="10" spans="1:10" s="32" customFormat="1" ht="3.75" customHeight="1">
      <c r="A10" s="118"/>
      <c r="B10" s="114"/>
      <c r="C10" s="110"/>
      <c r="D10" s="110"/>
      <c r="E10" s="110"/>
      <c r="F10" s="110"/>
      <c r="G10" s="110"/>
      <c r="H10" s="110"/>
      <c r="I10" s="110"/>
      <c r="J10" s="110"/>
    </row>
    <row r="11" spans="1:10" s="32" customFormat="1" ht="18">
      <c r="A11" s="116"/>
      <c r="B11" s="119" t="s">
        <v>270</v>
      </c>
      <c r="C11" s="110"/>
      <c r="D11" s="110"/>
      <c r="E11" s="110"/>
      <c r="F11" s="110"/>
      <c r="G11" s="110"/>
      <c r="H11" s="110"/>
      <c r="I11" s="110"/>
      <c r="J11" s="110"/>
    </row>
    <row r="12" spans="1:10" s="32" customFormat="1" ht="12.7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s="32" customFormat="1" ht="18">
      <c r="A13" s="319" t="s">
        <v>288</v>
      </c>
      <c r="B13" s="320"/>
      <c r="C13" s="320"/>
      <c r="D13" s="320"/>
      <c r="E13" s="34"/>
      <c r="F13" s="34"/>
      <c r="G13" s="34"/>
      <c r="H13" s="34"/>
      <c r="I13" s="34"/>
      <c r="J13" s="34"/>
    </row>
    <row r="14" spans="1:4" ht="28.5">
      <c r="A14" s="179" t="s">
        <v>160</v>
      </c>
      <c r="B14" s="179" t="s">
        <v>251</v>
      </c>
      <c r="C14" s="170" t="s">
        <v>159</v>
      </c>
      <c r="D14" s="43" t="s">
        <v>119</v>
      </c>
    </row>
    <row r="15" spans="1:4" ht="38.25">
      <c r="A15" s="179" t="s">
        <v>154</v>
      </c>
      <c r="B15" s="316">
        <f>'allegato B'!I16</f>
        <v>273444.75755999994</v>
      </c>
      <c r="C15" s="180">
        <f>'allegato F'!F39</f>
        <v>0</v>
      </c>
      <c r="D15" s="313" t="str">
        <f>IF(C21&lt;B15,"OFFERTA NON VALIDA!!!","OFFERTA VALIDA")</f>
        <v>OFFERTA NON VALIDA!!!</v>
      </c>
    </row>
    <row r="16" spans="1:4" ht="25.5">
      <c r="A16" s="179" t="s">
        <v>155</v>
      </c>
      <c r="B16" s="317"/>
      <c r="C16" s="52">
        <v>0</v>
      </c>
      <c r="D16" s="314"/>
    </row>
    <row r="17" spans="1:8" ht="12.75">
      <c r="A17" s="179" t="s">
        <v>156</v>
      </c>
      <c r="B17" s="317"/>
      <c r="C17" s="52">
        <v>0</v>
      </c>
      <c r="D17" s="314"/>
      <c r="H17" s="30">
        <v>0.07</v>
      </c>
    </row>
    <row r="18" spans="1:10" ht="12.75">
      <c r="A18" s="179" t="s">
        <v>157</v>
      </c>
      <c r="B18" s="317"/>
      <c r="C18" s="52">
        <v>0</v>
      </c>
      <c r="D18" s="314"/>
      <c r="H18">
        <v>100</v>
      </c>
      <c r="J18" s="55">
        <f>PMT(H17,H19,H18)</f>
        <v>-12.590198865502044</v>
      </c>
    </row>
    <row r="19" spans="1:8" ht="12.75">
      <c r="A19" s="179" t="s">
        <v>158</v>
      </c>
      <c r="B19" s="317"/>
      <c r="C19" s="52">
        <v>0</v>
      </c>
      <c r="D19" s="314"/>
      <c r="H19">
        <v>12</v>
      </c>
    </row>
    <row r="20" spans="1:4" ht="12.75">
      <c r="A20" s="179" t="s">
        <v>161</v>
      </c>
      <c r="B20" s="317"/>
      <c r="C20" s="52">
        <v>0</v>
      </c>
      <c r="D20" s="314"/>
    </row>
    <row r="21" spans="1:4" ht="25.5" customHeight="1">
      <c r="A21" s="181" t="s">
        <v>148</v>
      </c>
      <c r="B21" s="318"/>
      <c r="C21" s="182">
        <f>C15+C16++C17+C18+C19+C20</f>
        <v>0</v>
      </c>
      <c r="D21" s="315"/>
    </row>
    <row r="22" spans="1:4" ht="12.75">
      <c r="A22" s="183"/>
      <c r="B22" s="183"/>
      <c r="C22" s="34"/>
      <c r="D22" s="34"/>
    </row>
    <row r="23" spans="1:4" ht="18">
      <c r="A23" s="319" t="s">
        <v>260</v>
      </c>
      <c r="B23" s="320"/>
      <c r="C23" s="320"/>
      <c r="D23" s="320"/>
    </row>
    <row r="24" spans="1:4" ht="28.5">
      <c r="A24" s="179" t="s">
        <v>160</v>
      </c>
      <c r="B24" s="179" t="s">
        <v>251</v>
      </c>
      <c r="C24" s="170" t="s">
        <v>159</v>
      </c>
      <c r="D24" s="43" t="s">
        <v>119</v>
      </c>
    </row>
    <row r="25" spans="1:4" ht="38.25">
      <c r="A25" s="179" t="s">
        <v>154</v>
      </c>
      <c r="B25" s="316">
        <f>'allegato B'!I17</f>
        <v>22134.308718537588</v>
      </c>
      <c r="C25" s="180">
        <f>'allegato F'!F70</f>
        <v>0</v>
      </c>
      <c r="D25" s="313" t="str">
        <f>IF(C31&lt;B25,"OFFERTA NON VALIDA!!!","OFFERTA VALIDA")</f>
        <v>OFFERTA NON VALIDA!!!</v>
      </c>
    </row>
    <row r="26" spans="1:4" ht="25.5">
      <c r="A26" s="179" t="s">
        <v>155</v>
      </c>
      <c r="B26" s="317"/>
      <c r="C26" s="52">
        <v>0</v>
      </c>
      <c r="D26" s="314"/>
    </row>
    <row r="27" spans="1:4" ht="12.75">
      <c r="A27" s="179" t="s">
        <v>156</v>
      </c>
      <c r="B27" s="317"/>
      <c r="C27" s="52">
        <v>0</v>
      </c>
      <c r="D27" s="314"/>
    </row>
    <row r="28" spans="1:4" ht="12.75">
      <c r="A28" s="179" t="s">
        <v>157</v>
      </c>
      <c r="B28" s="317"/>
      <c r="C28" s="52">
        <v>0</v>
      </c>
      <c r="D28" s="314"/>
    </row>
    <row r="29" spans="1:4" ht="12.75">
      <c r="A29" s="179" t="s">
        <v>158</v>
      </c>
      <c r="B29" s="317"/>
      <c r="C29" s="52">
        <v>0</v>
      </c>
      <c r="D29" s="314"/>
    </row>
    <row r="30" spans="1:4" ht="12.75">
      <c r="A30" s="179" t="s">
        <v>161</v>
      </c>
      <c r="B30" s="317"/>
      <c r="C30" s="52">
        <v>0</v>
      </c>
      <c r="D30" s="314"/>
    </row>
    <row r="31" spans="1:4" ht="18">
      <c r="A31" s="181" t="s">
        <v>148</v>
      </c>
      <c r="B31" s="318"/>
      <c r="C31" s="182">
        <f>C25+C26++C27+C28+C29+C30</f>
        <v>0</v>
      </c>
      <c r="D31" s="315"/>
    </row>
    <row r="32" spans="1:4" ht="12.75">
      <c r="A32" s="34"/>
      <c r="B32" s="34"/>
      <c r="C32" s="34"/>
      <c r="D32" s="34"/>
    </row>
    <row r="33" spans="1:4" ht="18">
      <c r="A33" s="319" t="s">
        <v>261</v>
      </c>
      <c r="B33" s="320"/>
      <c r="C33" s="320"/>
      <c r="D33" s="320"/>
    </row>
    <row r="34" spans="1:4" ht="28.5">
      <c r="A34" s="179" t="s">
        <v>160</v>
      </c>
      <c r="B34" s="179" t="s">
        <v>251</v>
      </c>
      <c r="C34" s="170" t="s">
        <v>159</v>
      </c>
      <c r="D34" s="43" t="s">
        <v>119</v>
      </c>
    </row>
    <row r="35" spans="1:4" ht="38.25">
      <c r="A35" s="179" t="s">
        <v>154</v>
      </c>
      <c r="B35" s="316">
        <f>'allegato B'!I18</f>
        <v>374473.0301256</v>
      </c>
      <c r="C35" s="180">
        <f>'allegato F'!F101</f>
        <v>0</v>
      </c>
      <c r="D35" s="313" t="str">
        <f>IF(C41&lt;B35,"OFFERTA NON VALIDA!!!","OFFERTA VALIDA")</f>
        <v>OFFERTA NON VALIDA!!!</v>
      </c>
    </row>
    <row r="36" spans="1:4" ht="25.5">
      <c r="A36" s="179" t="s">
        <v>155</v>
      </c>
      <c r="B36" s="317"/>
      <c r="C36" s="52">
        <v>0</v>
      </c>
      <c r="D36" s="314"/>
    </row>
    <row r="37" spans="1:4" ht="12.75">
      <c r="A37" s="179" t="s">
        <v>156</v>
      </c>
      <c r="B37" s="317"/>
      <c r="C37" s="52">
        <v>0</v>
      </c>
      <c r="D37" s="314"/>
    </row>
    <row r="38" spans="1:4" ht="12.75">
      <c r="A38" s="179" t="s">
        <v>157</v>
      </c>
      <c r="B38" s="317"/>
      <c r="C38" s="52">
        <v>0</v>
      </c>
      <c r="D38" s="314"/>
    </row>
    <row r="39" spans="1:4" ht="12.75">
      <c r="A39" s="179" t="s">
        <v>158</v>
      </c>
      <c r="B39" s="317"/>
      <c r="C39" s="52">
        <v>0</v>
      </c>
      <c r="D39" s="314"/>
    </row>
    <row r="40" spans="1:4" ht="12.75">
      <c r="A40" s="179" t="s">
        <v>161</v>
      </c>
      <c r="B40" s="317"/>
      <c r="C40" s="52">
        <v>0</v>
      </c>
      <c r="D40" s="314"/>
    </row>
    <row r="41" spans="1:4" ht="18">
      <c r="A41" s="181" t="s">
        <v>148</v>
      </c>
      <c r="B41" s="318"/>
      <c r="C41" s="182">
        <f>C35+C36++C37+C38+C39+C40</f>
        <v>0</v>
      </c>
      <c r="D41" s="315"/>
    </row>
    <row r="42" spans="1:4" ht="12.75">
      <c r="A42" s="34"/>
      <c r="B42" s="34"/>
      <c r="C42" s="34"/>
      <c r="D42" s="34"/>
    </row>
    <row r="43" spans="1:4" ht="18">
      <c r="A43" s="319" t="s">
        <v>262</v>
      </c>
      <c r="B43" s="320"/>
      <c r="C43" s="320"/>
      <c r="D43" s="320"/>
    </row>
    <row r="44" spans="1:4" ht="28.5">
      <c r="A44" s="179" t="s">
        <v>160</v>
      </c>
      <c r="B44" s="179" t="s">
        <v>251</v>
      </c>
      <c r="C44" s="170" t="s">
        <v>159</v>
      </c>
      <c r="D44" s="43" t="s">
        <v>119</v>
      </c>
    </row>
    <row r="45" spans="1:4" ht="38.25">
      <c r="A45" s="179" t="s">
        <v>154</v>
      </c>
      <c r="B45" s="316">
        <f>'allegato B'!I19</f>
        <v>203816.49495480006</v>
      </c>
      <c r="C45" s="180">
        <f>'allegato F'!F132</f>
        <v>0</v>
      </c>
      <c r="D45" s="313" t="str">
        <f>IF(C51&lt;B45,"OFFERTA NON VALIDA!!!","OFFERTA VALIDA")</f>
        <v>OFFERTA NON VALIDA!!!</v>
      </c>
    </row>
    <row r="46" spans="1:4" ht="25.5">
      <c r="A46" s="179" t="s">
        <v>155</v>
      </c>
      <c r="B46" s="317"/>
      <c r="C46" s="52">
        <v>0</v>
      </c>
      <c r="D46" s="314"/>
    </row>
    <row r="47" spans="1:4" ht="12.75">
      <c r="A47" s="179" t="s">
        <v>156</v>
      </c>
      <c r="B47" s="317"/>
      <c r="C47" s="52">
        <v>0</v>
      </c>
      <c r="D47" s="314"/>
    </row>
    <row r="48" spans="1:4" ht="12.75">
      <c r="A48" s="179" t="s">
        <v>157</v>
      </c>
      <c r="B48" s="317"/>
      <c r="C48" s="52">
        <v>0</v>
      </c>
      <c r="D48" s="314"/>
    </row>
    <row r="49" spans="1:4" ht="12.75">
      <c r="A49" s="179" t="s">
        <v>158</v>
      </c>
      <c r="B49" s="317"/>
      <c r="C49" s="52">
        <v>0</v>
      </c>
      <c r="D49" s="314"/>
    </row>
    <row r="50" spans="1:4" ht="12.75">
      <c r="A50" s="179" t="s">
        <v>161</v>
      </c>
      <c r="B50" s="317"/>
      <c r="C50" s="52"/>
      <c r="D50" s="314"/>
    </row>
    <row r="51" spans="1:4" ht="18">
      <c r="A51" s="181" t="s">
        <v>148</v>
      </c>
      <c r="B51" s="318"/>
      <c r="C51" s="182">
        <f>C45+C46++C47+C48+C49+C50</f>
        <v>0</v>
      </c>
      <c r="D51" s="315"/>
    </row>
    <row r="52" spans="1:4" ht="12.75">
      <c r="A52" s="34"/>
      <c r="B52" s="34"/>
      <c r="C52" s="34"/>
      <c r="D52" s="34"/>
    </row>
    <row r="53" spans="1:4" ht="18">
      <c r="A53" s="319" t="s">
        <v>263</v>
      </c>
      <c r="B53" s="320"/>
      <c r="C53" s="320"/>
      <c r="D53" s="320"/>
    </row>
    <row r="54" spans="1:4" ht="28.5">
      <c r="A54" s="179" t="s">
        <v>160</v>
      </c>
      <c r="B54" s="179" t="s">
        <v>251</v>
      </c>
      <c r="C54" s="170" t="s">
        <v>159</v>
      </c>
      <c r="D54" s="43" t="s">
        <v>119</v>
      </c>
    </row>
    <row r="55" spans="1:4" ht="38.25">
      <c r="A55" s="179" t="s">
        <v>154</v>
      </c>
      <c r="B55" s="316">
        <f>'allegato B'!I20</f>
        <v>917415.6060445098</v>
      </c>
      <c r="C55" s="180">
        <f>'allegato F'!F163</f>
        <v>0</v>
      </c>
      <c r="D55" s="313" t="str">
        <f>IF(C61&lt;B55,"OFFERTA NON VALIDA!!!","OFFERTA VALIDA")</f>
        <v>OFFERTA NON VALIDA!!!</v>
      </c>
    </row>
    <row r="56" spans="1:4" ht="24.75" customHeight="1">
      <c r="A56" s="179" t="s">
        <v>155</v>
      </c>
      <c r="B56" s="317"/>
      <c r="C56" s="52">
        <v>0</v>
      </c>
      <c r="D56" s="314"/>
    </row>
    <row r="57" spans="1:4" ht="12.75">
      <c r="A57" s="179" t="s">
        <v>156</v>
      </c>
      <c r="B57" s="317"/>
      <c r="C57" s="52">
        <v>0</v>
      </c>
      <c r="D57" s="314"/>
    </row>
    <row r="58" spans="1:4" ht="12.75">
      <c r="A58" s="179" t="s">
        <v>157</v>
      </c>
      <c r="B58" s="317"/>
      <c r="C58" s="52">
        <v>0</v>
      </c>
      <c r="D58" s="314"/>
    </row>
    <row r="59" spans="1:4" ht="12.75">
      <c r="A59" s="179" t="s">
        <v>158</v>
      </c>
      <c r="B59" s="317"/>
      <c r="C59" s="52">
        <v>0</v>
      </c>
      <c r="D59" s="314"/>
    </row>
    <row r="60" spans="1:4" ht="12.75">
      <c r="A60" s="179" t="s">
        <v>161</v>
      </c>
      <c r="B60" s="317"/>
      <c r="C60" s="52">
        <v>0</v>
      </c>
      <c r="D60" s="314"/>
    </row>
    <row r="61" spans="1:4" ht="18">
      <c r="A61" s="181" t="s">
        <v>148</v>
      </c>
      <c r="B61" s="318"/>
      <c r="C61" s="182">
        <f>C55+C56++C57+C58+C59+C60</f>
        <v>0</v>
      </c>
      <c r="D61" s="315"/>
    </row>
    <row r="62" spans="1:4" ht="12.75">
      <c r="A62" s="34"/>
      <c r="B62" s="34"/>
      <c r="C62" s="34"/>
      <c r="D62" s="34"/>
    </row>
    <row r="63" spans="1:4" ht="13.5" thickBot="1">
      <c r="A63" s="34"/>
      <c r="B63" s="34"/>
      <c r="C63" s="34"/>
      <c r="D63" s="34"/>
    </row>
    <row r="64" spans="1:4" ht="24" thickBot="1">
      <c r="A64" s="122" t="s">
        <v>165</v>
      </c>
      <c r="B64" s="184">
        <f>'allegato B'!I21</f>
        <v>1791284.1974034472</v>
      </c>
      <c r="C64" s="185">
        <f>C21+C31+C41+C51+C61</f>
        <v>0</v>
      </c>
      <c r="D64" s="34"/>
    </row>
    <row r="65" spans="1:4" ht="12.75">
      <c r="A65" s="34"/>
      <c r="B65" s="34"/>
      <c r="C65" s="34"/>
      <c r="D65" s="34"/>
    </row>
    <row r="66" spans="1:4" ht="12.75">
      <c r="A66" s="34"/>
      <c r="B66" s="34"/>
      <c r="C66" s="34"/>
      <c r="D66" s="34"/>
    </row>
    <row r="67" spans="1:4" ht="12.75">
      <c r="A67" s="124" t="s">
        <v>248</v>
      </c>
      <c r="B67" s="124"/>
      <c r="C67" s="34"/>
      <c r="D67" s="34"/>
    </row>
    <row r="68" spans="1:4" ht="12.75">
      <c r="A68" s="34"/>
      <c r="B68" s="34"/>
      <c r="C68" s="34"/>
      <c r="D68" s="34"/>
    </row>
    <row r="69" spans="1:4" ht="12.75">
      <c r="A69" s="34"/>
      <c r="B69" s="34"/>
      <c r="C69" s="34"/>
      <c r="D69" s="34"/>
    </row>
  </sheetData>
  <sheetProtection password="80D9" sheet="1"/>
  <mergeCells count="16">
    <mergeCell ref="A1:D1"/>
    <mergeCell ref="A23:D23"/>
    <mergeCell ref="A33:D33"/>
    <mergeCell ref="D15:D21"/>
    <mergeCell ref="D25:D31"/>
    <mergeCell ref="A13:D13"/>
    <mergeCell ref="D55:D61"/>
    <mergeCell ref="B15:B21"/>
    <mergeCell ref="B25:B31"/>
    <mergeCell ref="B45:B51"/>
    <mergeCell ref="B35:B41"/>
    <mergeCell ref="B55:B61"/>
    <mergeCell ref="A43:D43"/>
    <mergeCell ref="A53:D53"/>
    <mergeCell ref="D35:D41"/>
    <mergeCell ref="D45:D51"/>
  </mergeCells>
  <printOptions/>
  <pageMargins left="0.7" right="0.32" top="0.75" bottom="0.75" header="0.3" footer="0.3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view="pageBreakPreview" zoomScaleSheetLayoutView="100" zoomScalePageLayoutView="0" workbookViewId="0" topLeftCell="A7">
      <selection activeCell="K19" sqref="K19"/>
    </sheetView>
  </sheetViews>
  <sheetFormatPr defaultColWidth="9.140625" defaultRowHeight="12.75"/>
  <cols>
    <col min="1" max="1" width="15.7109375" style="1" customWidth="1"/>
    <col min="2" max="6" width="12.7109375" style="1" customWidth="1"/>
    <col min="7" max="8" width="12.7109375" style="9" customWidth="1"/>
    <col min="9" max="13" width="12.7109375" style="1" customWidth="1"/>
    <col min="14" max="14" width="17.421875" style="1" customWidth="1"/>
    <col min="15" max="15" width="15.8515625" style="1" customWidth="1"/>
    <col min="16" max="17" width="12.7109375" style="1" customWidth="1"/>
    <col min="18" max="18" width="14.7109375" style="1" customWidth="1"/>
    <col min="19" max="19" width="12.7109375" style="1" customWidth="1"/>
    <col min="20" max="20" width="23.140625" style="1" customWidth="1"/>
    <col min="21" max="21" width="9.140625" style="1" customWidth="1"/>
    <col min="22" max="22" width="13.00390625" style="1" customWidth="1"/>
    <col min="23" max="23" width="19.28125" style="1" bestFit="1" customWidth="1"/>
    <col min="24" max="24" width="13.8515625" style="1" customWidth="1"/>
    <col min="25" max="25" width="19.28125" style="1" customWidth="1"/>
    <col min="26" max="26" width="15.140625" style="1" customWidth="1"/>
    <col min="28" max="16384" width="9.140625" style="1" customWidth="1"/>
  </cols>
  <sheetData>
    <row r="1" spans="1:20" ht="18">
      <c r="A1" s="302" t="s">
        <v>182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</row>
    <row r="2" spans="1:20" s="111" customFormat="1" ht="18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32" customFormat="1" ht="18">
      <c r="A3" s="119" t="s">
        <v>264</v>
      </c>
      <c r="B3" s="110"/>
      <c r="C3" s="110"/>
      <c r="D3" s="110"/>
      <c r="E3" s="110"/>
      <c r="F3" s="110"/>
      <c r="G3" s="110"/>
      <c r="H3" s="110"/>
      <c r="I3" s="110"/>
      <c r="J3" s="110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32" customFormat="1" ht="3.75" customHeight="1">
      <c r="A4" s="112"/>
      <c r="B4" s="110"/>
      <c r="C4" s="110"/>
      <c r="D4" s="110"/>
      <c r="E4" s="110"/>
      <c r="F4" s="110"/>
      <c r="G4" s="110"/>
      <c r="H4" s="110"/>
      <c r="I4" s="110"/>
      <c r="J4" s="110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32" customFormat="1" ht="18">
      <c r="A5" s="123"/>
      <c r="B5" s="120" t="s">
        <v>269</v>
      </c>
      <c r="C5" s="110"/>
      <c r="D5" s="110"/>
      <c r="E5" s="110"/>
      <c r="F5" s="110"/>
      <c r="G5" s="110"/>
      <c r="H5" s="110"/>
      <c r="I5" s="110"/>
      <c r="J5" s="110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s="32" customFormat="1" ht="3.75" customHeight="1">
      <c r="A6" s="118"/>
      <c r="B6" s="112"/>
      <c r="C6" s="110"/>
      <c r="D6" s="110"/>
      <c r="E6" s="110"/>
      <c r="F6" s="110"/>
      <c r="G6" s="110"/>
      <c r="H6" s="110"/>
      <c r="I6" s="110"/>
      <c r="J6" s="110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s="32" customFormat="1" ht="18">
      <c r="A7" s="113"/>
      <c r="B7" s="119" t="s">
        <v>271</v>
      </c>
      <c r="C7" s="110"/>
      <c r="D7" s="110"/>
      <c r="E7" s="110"/>
      <c r="F7" s="110"/>
      <c r="G7" s="110"/>
      <c r="H7" s="110"/>
      <c r="I7" s="110"/>
      <c r="J7" s="110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s="32" customFormat="1" ht="3.75" customHeight="1">
      <c r="A8" s="117"/>
      <c r="B8" s="114"/>
      <c r="C8" s="110"/>
      <c r="D8" s="110"/>
      <c r="E8" s="110"/>
      <c r="F8" s="110"/>
      <c r="G8" s="110"/>
      <c r="H8" s="110"/>
      <c r="I8" s="110"/>
      <c r="J8" s="110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s="32" customFormat="1" ht="18">
      <c r="A9" s="115"/>
      <c r="B9" s="119" t="s">
        <v>272</v>
      </c>
      <c r="C9" s="110"/>
      <c r="D9" s="110"/>
      <c r="E9" s="110"/>
      <c r="F9" s="110"/>
      <c r="G9" s="110"/>
      <c r="H9" s="110"/>
      <c r="I9" s="110"/>
      <c r="J9" s="110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32" customFormat="1" ht="3.75" customHeight="1">
      <c r="A10" s="118"/>
      <c r="B10" s="114"/>
      <c r="C10" s="110"/>
      <c r="D10" s="110"/>
      <c r="E10" s="110"/>
      <c r="F10" s="110"/>
      <c r="G10" s="110"/>
      <c r="H10" s="110"/>
      <c r="I10" s="110"/>
      <c r="J10" s="110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s="32" customFormat="1" ht="18">
      <c r="A11" s="116"/>
      <c r="B11" s="119" t="s">
        <v>270</v>
      </c>
      <c r="C11" s="110"/>
      <c r="D11" s="110"/>
      <c r="E11" s="110"/>
      <c r="F11" s="110"/>
      <c r="G11" s="110"/>
      <c r="H11" s="110"/>
      <c r="I11" s="110"/>
      <c r="J11" s="110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s="32" customFormat="1" ht="13.5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7" ht="39">
      <c r="A13" s="187" t="s">
        <v>0</v>
      </c>
      <c r="B13" s="188" t="s">
        <v>53</v>
      </c>
      <c r="C13" s="188" t="s">
        <v>195</v>
      </c>
      <c r="D13" s="188" t="s">
        <v>60</v>
      </c>
      <c r="E13" s="188" t="s">
        <v>254</v>
      </c>
      <c r="F13" s="188" t="s">
        <v>66</v>
      </c>
      <c r="G13" s="188" t="s">
        <v>63</v>
      </c>
      <c r="H13" s="188" t="s">
        <v>13</v>
      </c>
      <c r="I13" s="188" t="s">
        <v>14</v>
      </c>
      <c r="J13" s="188" t="s">
        <v>67</v>
      </c>
      <c r="K13" s="188" t="s">
        <v>194</v>
      </c>
      <c r="L13" s="188" t="s">
        <v>186</v>
      </c>
      <c r="M13" s="188" t="s">
        <v>68</v>
      </c>
      <c r="N13" s="188" t="s">
        <v>11</v>
      </c>
      <c r="O13" s="188" t="s">
        <v>187</v>
      </c>
      <c r="P13" s="188" t="s">
        <v>2</v>
      </c>
      <c r="Q13" s="188" t="s">
        <v>54</v>
      </c>
      <c r="R13" s="188" t="s">
        <v>191</v>
      </c>
      <c r="S13" s="188" t="s">
        <v>192</v>
      </c>
      <c r="T13" s="189"/>
      <c r="AA13" s="1"/>
    </row>
    <row r="14" spans="1:27" ht="89.25">
      <c r="A14" s="190" t="s">
        <v>1</v>
      </c>
      <c r="B14" s="191" t="s">
        <v>38</v>
      </c>
      <c r="C14" s="191" t="s">
        <v>37</v>
      </c>
      <c r="D14" s="191" t="s">
        <v>7</v>
      </c>
      <c r="E14" s="191" t="s">
        <v>8</v>
      </c>
      <c r="F14" s="191" t="s">
        <v>183</v>
      </c>
      <c r="G14" s="191" t="s">
        <v>35</v>
      </c>
      <c r="H14" s="191" t="s">
        <v>9</v>
      </c>
      <c r="I14" s="191" t="s">
        <v>15</v>
      </c>
      <c r="J14" s="191" t="s">
        <v>185</v>
      </c>
      <c r="K14" s="191" t="s">
        <v>12</v>
      </c>
      <c r="L14" s="191" t="s">
        <v>16</v>
      </c>
      <c r="M14" s="191" t="s">
        <v>25</v>
      </c>
      <c r="N14" s="143" t="s">
        <v>10</v>
      </c>
      <c r="O14" s="143" t="s">
        <v>188</v>
      </c>
      <c r="P14" s="143" t="s">
        <v>190</v>
      </c>
      <c r="Q14" s="143" t="s">
        <v>184</v>
      </c>
      <c r="R14" s="143" t="s">
        <v>189</v>
      </c>
      <c r="S14" s="143" t="s">
        <v>34</v>
      </c>
      <c r="T14" s="144" t="s">
        <v>119</v>
      </c>
      <c r="AA14" s="1"/>
    </row>
    <row r="15" spans="1:27" ht="12.75">
      <c r="A15" s="192" t="s">
        <v>3</v>
      </c>
      <c r="B15" s="193">
        <f>'allegato B'!B6</f>
        <v>104070</v>
      </c>
      <c r="C15" s="194">
        <f>A34</f>
        <v>0.607711</v>
      </c>
      <c r="D15" s="195">
        <f>'allegato B'!D16</f>
        <v>0.27</v>
      </c>
      <c r="E15" s="196">
        <f>'allegato C'!I26</f>
        <v>1</v>
      </c>
      <c r="F15" s="197">
        <f>B15*C15*(1-E15)</f>
        <v>0</v>
      </c>
      <c r="G15" s="198">
        <f>'allegato B'!E6</f>
        <v>4000</v>
      </c>
      <c r="H15" s="195">
        <f>'allegato B'!G16</f>
        <v>0.06</v>
      </c>
      <c r="I15" s="230"/>
      <c r="J15" s="197">
        <f>G15*(1-I15)</f>
        <v>4000</v>
      </c>
      <c r="K15" s="198">
        <f>'allegato B'!I16</f>
        <v>273444.75755999994</v>
      </c>
      <c r="L15" s="197">
        <f>'allegato G'!C21</f>
        <v>0</v>
      </c>
      <c r="M15" s="196">
        <f aca="true" t="shared" si="0" ref="M15:M20">L15/K15-1</f>
        <v>-1</v>
      </c>
      <c r="N15" s="199">
        <v>13</v>
      </c>
      <c r="O15" s="200">
        <f>L15/(N15-1)</f>
        <v>0</v>
      </c>
      <c r="P15" s="201">
        <f>F15+J15+O15</f>
        <v>4000</v>
      </c>
      <c r="Q15" s="202">
        <f>'allegato B'!I6</f>
        <v>0.06</v>
      </c>
      <c r="R15" s="201">
        <f>(F15+J15)*(N15-1)+L15</f>
        <v>48000</v>
      </c>
      <c r="S15" s="203">
        <f>1-(R15/'allegato B'!H6)</f>
        <v>0.9485490854972967</v>
      </c>
      <c r="T15" s="204" t="str">
        <f>IF(S15&lt;Q15,"OFFERTA NON VALIDA !!!"," OFFERTA VALIDA")</f>
        <v> OFFERTA VALIDA</v>
      </c>
      <c r="AA15" s="1"/>
    </row>
    <row r="16" spans="1:27" ht="12.75">
      <c r="A16" s="192" t="s">
        <v>4</v>
      </c>
      <c r="B16" s="193">
        <f>'allegato B'!B7</f>
        <v>13238</v>
      </c>
      <c r="C16" s="194">
        <f>C15</f>
        <v>0.607711</v>
      </c>
      <c r="D16" s="195">
        <f>'allegato B'!D17</f>
        <v>0.19</v>
      </c>
      <c r="E16" s="196">
        <f>'allegato C'!I33</f>
        <v>1</v>
      </c>
      <c r="F16" s="197">
        <f>B16*C16*(1-E16)</f>
        <v>0</v>
      </c>
      <c r="G16" s="198">
        <f>'allegato B'!E7</f>
        <v>1000</v>
      </c>
      <c r="H16" s="195">
        <f>'allegato B'!G17</f>
        <v>0.08</v>
      </c>
      <c r="I16" s="230"/>
      <c r="J16" s="197">
        <f>G16*(1-I16)</f>
        <v>1000</v>
      </c>
      <c r="K16" s="198">
        <f>'allegato B'!I17</f>
        <v>22134.308718537588</v>
      </c>
      <c r="L16" s="197">
        <f>'allegato G'!C31</f>
        <v>0</v>
      </c>
      <c r="M16" s="196">
        <f t="shared" si="0"/>
        <v>-1</v>
      </c>
      <c r="N16" s="199">
        <v>13</v>
      </c>
      <c r="O16" s="200">
        <f>L16/(N16-1)</f>
        <v>0</v>
      </c>
      <c r="P16" s="201">
        <f>F16+J16+O16</f>
        <v>1000</v>
      </c>
      <c r="Q16" s="202">
        <f>'allegato B'!I7</f>
        <v>0.08</v>
      </c>
      <c r="R16" s="201">
        <f>(F16+J16)*(N16-1)+L16</f>
        <v>12000</v>
      </c>
      <c r="S16" s="203">
        <f>1-(R16/'allegato B'!H7)</f>
        <v>0.9014169014065305</v>
      </c>
      <c r="T16" s="204" t="str">
        <f>IF(S16&lt;Q16,"OFFERTA NON VALIDA !!!"," OFFERTA VALIDA")</f>
        <v> OFFERTA VALIDA</v>
      </c>
      <c r="AA16" s="1"/>
    </row>
    <row r="17" spans="1:27" ht="12.75">
      <c r="A17" s="192" t="s">
        <v>6</v>
      </c>
      <c r="B17" s="193">
        <f>'allegato B'!B8</f>
        <v>213020</v>
      </c>
      <c r="C17" s="194">
        <f>C16</f>
        <v>0.607711</v>
      </c>
      <c r="D17" s="195">
        <f>'allegato B'!D18</f>
        <v>0.13</v>
      </c>
      <c r="E17" s="196">
        <f>'allegato C'!I49</f>
        <v>1</v>
      </c>
      <c r="F17" s="197">
        <f>B17*C17*(1-E17)</f>
        <v>0</v>
      </c>
      <c r="G17" s="198">
        <f>'allegato B'!E8</f>
        <v>4077</v>
      </c>
      <c r="H17" s="195">
        <f>'allegato B'!G18</f>
        <v>0.01</v>
      </c>
      <c r="I17" s="230"/>
      <c r="J17" s="197">
        <f>G17*(1-I17)</f>
        <v>4077</v>
      </c>
      <c r="K17" s="198">
        <f>'allegato B'!I18</f>
        <v>374473.0301256</v>
      </c>
      <c r="L17" s="197">
        <f>'allegato G'!C41</f>
        <v>0</v>
      </c>
      <c r="M17" s="196">
        <f t="shared" si="0"/>
        <v>-1</v>
      </c>
      <c r="N17" s="199">
        <v>13</v>
      </c>
      <c r="O17" s="200">
        <f>L17/(N17-1)</f>
        <v>0</v>
      </c>
      <c r="P17" s="201">
        <f>F17+J17+O17</f>
        <v>4077</v>
      </c>
      <c r="Q17" s="202">
        <f>'allegato B'!I8</f>
        <v>0.01</v>
      </c>
      <c r="R17" s="201">
        <f>(F17+J17)*(N17-1)+L17</f>
        <v>48924</v>
      </c>
      <c r="S17" s="203">
        <f>1-(R17/'allegato B'!H8)</f>
        <v>0.9728666562584926</v>
      </c>
      <c r="T17" s="204" t="str">
        <f>IF(S17&lt;Q17,"OFFERTA NON VALIDA !!!"," OFFERTA VALIDA")</f>
        <v> OFFERTA VALIDA</v>
      </c>
      <c r="AA17" s="1"/>
    </row>
    <row r="18" spans="1:27" ht="12.75">
      <c r="A18" s="192" t="s">
        <v>36</v>
      </c>
      <c r="B18" s="193">
        <f>'allegato B'!B9</f>
        <v>70681</v>
      </c>
      <c r="C18" s="194">
        <f>C19</f>
        <v>0.607711</v>
      </c>
      <c r="D18" s="195">
        <f>'allegato B'!D19</f>
        <v>0.245</v>
      </c>
      <c r="E18" s="196">
        <f>'allegato C'!I61</f>
        <v>1</v>
      </c>
      <c r="F18" s="197">
        <f>B18*C18*(1-E18)</f>
        <v>0</v>
      </c>
      <c r="G18" s="198">
        <f>'allegato B'!E9</f>
        <v>10400</v>
      </c>
      <c r="H18" s="195">
        <f>'allegato B'!G19</f>
        <v>0.02</v>
      </c>
      <c r="I18" s="230"/>
      <c r="J18" s="197">
        <f>G18*(1-I18)</f>
        <v>10400</v>
      </c>
      <c r="K18" s="198">
        <f>'allegato B'!I19</f>
        <v>203816.49495480006</v>
      </c>
      <c r="L18" s="197">
        <f>'allegato G'!C51</f>
        <v>0</v>
      </c>
      <c r="M18" s="196">
        <f t="shared" si="0"/>
        <v>-1</v>
      </c>
      <c r="N18" s="199">
        <v>13</v>
      </c>
      <c r="O18" s="200">
        <f>L18/(N18-1)</f>
        <v>0</v>
      </c>
      <c r="P18" s="201">
        <f>F18+J18+O18</f>
        <v>10400</v>
      </c>
      <c r="Q18" s="202">
        <f>'allegato B'!I9</f>
        <v>0.02</v>
      </c>
      <c r="R18" s="201">
        <f>(F18+J18)*(N18-1)+L18</f>
        <v>124800</v>
      </c>
      <c r="S18" s="203">
        <f>1-(R18/'allegato B'!H9)</f>
        <v>0.8297424584826347</v>
      </c>
      <c r="T18" s="204" t="str">
        <f>IF(S18&lt;Q18,"OFFERTA NON VALIDA !!!"," OFFERTA VALIDA")</f>
        <v> OFFERTA VALIDA</v>
      </c>
      <c r="AA18" s="1"/>
    </row>
    <row r="19" spans="1:27" ht="12.75">
      <c r="A19" s="192" t="s">
        <v>5</v>
      </c>
      <c r="B19" s="193">
        <f>'allegato B'!B10</f>
        <v>120434</v>
      </c>
      <c r="C19" s="194">
        <f>C17</f>
        <v>0.607711</v>
      </c>
      <c r="D19" s="195">
        <f>'allegato B'!D20</f>
        <v>0.4</v>
      </c>
      <c r="E19" s="196">
        <f>'allegato C'!I77</f>
        <v>1</v>
      </c>
      <c r="F19" s="197">
        <f>B19*C19*(1-E19)</f>
        <v>0</v>
      </c>
      <c r="G19" s="198">
        <f>'allegato B'!E10</f>
        <v>9743.283475450287</v>
      </c>
      <c r="H19" s="195">
        <f>'allegato B'!G20</f>
        <v>0.05</v>
      </c>
      <c r="I19" s="230"/>
      <c r="J19" s="197">
        <f>G19*(1-I19)</f>
        <v>9743.283475450287</v>
      </c>
      <c r="K19" s="198">
        <f>'allegato B'!I20</f>
        <v>917415.6060445098</v>
      </c>
      <c r="L19" s="197">
        <f>'allegato G'!C61</f>
        <v>0</v>
      </c>
      <c r="M19" s="196">
        <f t="shared" si="0"/>
        <v>-1</v>
      </c>
      <c r="N19" s="199">
        <v>13</v>
      </c>
      <c r="O19" s="200">
        <f>L19/(N19-1)</f>
        <v>0</v>
      </c>
      <c r="P19" s="201">
        <f>F19+J19+O19</f>
        <v>9743.283475450287</v>
      </c>
      <c r="Q19" s="202">
        <f>'allegato B'!I10</f>
        <v>0.05</v>
      </c>
      <c r="R19" s="201">
        <f>(F19+J19)*(N19-1)+L19</f>
        <v>116919.40170540345</v>
      </c>
      <c r="S19" s="203">
        <f>1-(R19/'allegato B'!H10)</f>
        <v>0.9287809569417115</v>
      </c>
      <c r="T19" s="204" t="str">
        <f>IF(S19&lt;Q19,"OFFERTA NON VALIDA !!!"," OFFERTA VALIDA")</f>
        <v> OFFERTA VALIDA</v>
      </c>
      <c r="AA19" s="1"/>
    </row>
    <row r="20" spans="1:27" ht="13.5" thickBot="1">
      <c r="A20" s="205"/>
      <c r="B20" s="206">
        <f>SUM(B15:B19)</f>
        <v>521443</v>
      </c>
      <c r="C20" s="207"/>
      <c r="D20" s="208"/>
      <c r="E20" s="208"/>
      <c r="F20" s="209">
        <f>SUM(F15:F19)</f>
        <v>0</v>
      </c>
      <c r="G20" s="207">
        <f>SUM(G15:G19)</f>
        <v>29220.283475450287</v>
      </c>
      <c r="H20" s="208"/>
      <c r="I20" s="208"/>
      <c r="J20" s="209">
        <f>SUM(J15:J19)</f>
        <v>29220.283475450287</v>
      </c>
      <c r="K20" s="207">
        <f>SUM(K15:K19)</f>
        <v>1791284.1974034472</v>
      </c>
      <c r="L20" s="209">
        <f>SUM(L15:L19)</f>
        <v>0</v>
      </c>
      <c r="M20" s="210">
        <f t="shared" si="0"/>
        <v>-1</v>
      </c>
      <c r="N20" s="211"/>
      <c r="O20" s="209">
        <f>SUM(O15:O19)</f>
        <v>0</v>
      </c>
      <c r="P20" s="212">
        <f>SUM(P15:P19)</f>
        <v>29220.283475450287</v>
      </c>
      <c r="Q20" s="213">
        <f>'allegato B'!I11</f>
        <v>0.034494239475352906</v>
      </c>
      <c r="R20" s="212">
        <f>SUM(R15:R19)</f>
        <v>350643.40170540346</v>
      </c>
      <c r="S20" s="214">
        <f>1-R20/'allegato B'!H11</f>
        <v>0.9329866675872655</v>
      </c>
      <c r="T20" s="215"/>
      <c r="AA20" s="1"/>
    </row>
    <row r="21" spans="1:27" ht="12.75">
      <c r="A21" s="124"/>
      <c r="B21" s="124"/>
      <c r="C21" s="124"/>
      <c r="D21" s="124"/>
      <c r="E21" s="124"/>
      <c r="F21" s="124"/>
      <c r="G21" s="134"/>
      <c r="H21" s="13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AA21" s="1"/>
    </row>
    <row r="22" spans="1:27" ht="12.75">
      <c r="A22" s="124"/>
      <c r="B22" s="124"/>
      <c r="C22" s="124"/>
      <c r="D22" s="124"/>
      <c r="E22" s="124"/>
      <c r="F22" s="124"/>
      <c r="G22" s="134"/>
      <c r="H22" s="13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AA22" s="1"/>
    </row>
    <row r="23" spans="1:27" ht="13.5" thickBot="1">
      <c r="A23" s="124"/>
      <c r="B23" s="124"/>
      <c r="C23" s="124"/>
      <c r="D23" s="124"/>
      <c r="E23" s="124"/>
      <c r="F23" s="124"/>
      <c r="G23" s="134"/>
      <c r="H23" s="13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AA23" s="1"/>
    </row>
    <row r="24" spans="1:27" ht="24" thickBot="1">
      <c r="A24" s="252" t="s">
        <v>193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321"/>
      <c r="N24" s="216">
        <f>S20</f>
        <v>0.9329866675872655</v>
      </c>
      <c r="O24" s="124"/>
      <c r="P24" s="124"/>
      <c r="Q24" s="124"/>
      <c r="R24" s="124"/>
      <c r="S24" s="124"/>
      <c r="T24" s="124"/>
      <c r="AA24" s="1"/>
    </row>
    <row r="25" spans="1:27" ht="12.75">
      <c r="A25" s="124"/>
      <c r="B25" s="124"/>
      <c r="C25" s="124"/>
      <c r="D25" s="124"/>
      <c r="E25" s="124"/>
      <c r="F25" s="124"/>
      <c r="G25" s="134"/>
      <c r="H25" s="13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AA25" s="1"/>
    </row>
    <row r="26" spans="1:27" ht="12.75">
      <c r="A26" s="124"/>
      <c r="B26" s="124"/>
      <c r="C26" s="124"/>
      <c r="D26" s="124"/>
      <c r="E26" s="124"/>
      <c r="F26" s="124"/>
      <c r="G26" s="134"/>
      <c r="H26" s="13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AA26" s="1"/>
    </row>
    <row r="27" spans="1:27" ht="12.75" hidden="1">
      <c r="A27" s="124"/>
      <c r="B27" s="124"/>
      <c r="C27" s="124"/>
      <c r="D27" s="124"/>
      <c r="E27" s="124"/>
      <c r="F27" s="124"/>
      <c r="G27" s="134"/>
      <c r="H27" s="13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AA27" s="1"/>
    </row>
    <row r="28" spans="1:27" ht="12.75" hidden="1">
      <c r="A28" s="124"/>
      <c r="B28" s="124"/>
      <c r="C28" s="124"/>
      <c r="D28" s="217">
        <v>420000</v>
      </c>
      <c r="E28" s="217"/>
      <c r="F28" s="217"/>
      <c r="G28" s="218"/>
      <c r="H28" s="218"/>
      <c r="I28" s="217"/>
      <c r="J28" s="217"/>
      <c r="K28" s="124"/>
      <c r="L28" s="124"/>
      <c r="M28" s="124"/>
      <c r="N28" s="124">
        <v>26000</v>
      </c>
      <c r="O28" s="124"/>
      <c r="P28" s="124"/>
      <c r="Q28" s="219"/>
      <c r="R28" s="124"/>
      <c r="S28" s="124"/>
      <c r="T28" s="124"/>
      <c r="V28" s="1">
        <f>(D28+N28)*12</f>
        <v>5352000</v>
      </c>
      <c r="AA28" s="1"/>
    </row>
    <row r="29" spans="1:27" ht="12.75" hidden="1">
      <c r="A29" s="124"/>
      <c r="B29" s="124">
        <v>162516</v>
      </c>
      <c r="C29" s="124"/>
      <c r="D29" s="220"/>
      <c r="E29" s="220"/>
      <c r="F29" s="220"/>
      <c r="G29" s="221"/>
      <c r="H29" s="221"/>
      <c r="I29" s="220"/>
      <c r="J29" s="220"/>
      <c r="K29" s="124"/>
      <c r="L29" s="124"/>
      <c r="M29" s="124"/>
      <c r="N29" s="220"/>
      <c r="O29" s="124"/>
      <c r="P29" s="124"/>
      <c r="Q29" s="124"/>
      <c r="R29" s="124"/>
      <c r="S29" s="124"/>
      <c r="T29" s="124"/>
      <c r="AA29" s="1"/>
    </row>
    <row r="30" spans="1:27" ht="15.75" hidden="1">
      <c r="A30" s="124"/>
      <c r="B30" s="124"/>
      <c r="C30" s="124"/>
      <c r="D30" s="124" t="s">
        <v>17</v>
      </c>
      <c r="E30" s="124"/>
      <c r="F30" s="124"/>
      <c r="G30" s="134"/>
      <c r="H30" s="134"/>
      <c r="I30" s="124"/>
      <c r="J30" s="124"/>
      <c r="K30" s="124" t="s">
        <v>18</v>
      </c>
      <c r="L30" s="124"/>
      <c r="M30" s="124"/>
      <c r="N30" s="220"/>
      <c r="O30" s="222" t="e">
        <f>D33*(O31/O32)</f>
        <v>#REF!</v>
      </c>
      <c r="P30" s="124"/>
      <c r="Q30" s="124" t="s">
        <v>26</v>
      </c>
      <c r="R30" s="124" t="s">
        <v>27</v>
      </c>
      <c r="S30" s="124"/>
      <c r="T30" s="222" t="e">
        <f>Q33*(T31/T32)</f>
        <v>#REF!</v>
      </c>
      <c r="AA30" s="1"/>
    </row>
    <row r="31" spans="1:20" ht="12.75" hidden="1">
      <c r="A31" s="124" t="s">
        <v>52</v>
      </c>
      <c r="B31" s="124"/>
      <c r="C31" s="124"/>
      <c r="D31" s="124" t="s">
        <v>19</v>
      </c>
      <c r="E31" s="124"/>
      <c r="F31" s="124"/>
      <c r="G31" s="134"/>
      <c r="H31" s="134"/>
      <c r="I31" s="124"/>
      <c r="J31" s="124"/>
      <c r="K31" s="124" t="s">
        <v>20</v>
      </c>
      <c r="L31" s="124"/>
      <c r="M31" s="124"/>
      <c r="N31" s="124"/>
      <c r="O31" s="223" t="e">
        <f>#REF!</f>
        <v>#REF!</v>
      </c>
      <c r="P31" s="124"/>
      <c r="Q31" s="124" t="s">
        <v>28</v>
      </c>
      <c r="R31" s="124" t="s">
        <v>29</v>
      </c>
      <c r="S31" s="124"/>
      <c r="T31" s="223" t="e">
        <f>#REF!</f>
        <v>#REF!</v>
      </c>
    </row>
    <row r="32" spans="1:27" ht="12.75" hidden="1">
      <c r="A32" s="224">
        <v>100000000</v>
      </c>
      <c r="B32" s="124" t="s">
        <v>39</v>
      </c>
      <c r="C32" s="124"/>
      <c r="D32" s="124" t="s">
        <v>21</v>
      </c>
      <c r="E32" s="124"/>
      <c r="F32" s="124"/>
      <c r="G32" s="134"/>
      <c r="H32" s="134"/>
      <c r="I32" s="124"/>
      <c r="J32" s="124"/>
      <c r="K32" s="124" t="s">
        <v>22</v>
      </c>
      <c r="L32" s="124"/>
      <c r="M32" s="124"/>
      <c r="N32" s="220"/>
      <c r="O32" s="223">
        <v>0.12</v>
      </c>
      <c r="P32" s="124"/>
      <c r="Q32" s="124" t="s">
        <v>30</v>
      </c>
      <c r="R32" s="124" t="s">
        <v>31</v>
      </c>
      <c r="S32" s="124"/>
      <c r="T32" s="223">
        <v>0.05</v>
      </c>
      <c r="AA32" s="1"/>
    </row>
    <row r="33" spans="1:27" ht="12.75" hidden="1">
      <c r="A33" s="224">
        <v>60771100</v>
      </c>
      <c r="B33" s="124" t="s">
        <v>40</v>
      </c>
      <c r="C33" s="124"/>
      <c r="D33" s="124">
        <v>40</v>
      </c>
      <c r="E33" s="124"/>
      <c r="F33" s="124"/>
      <c r="G33" s="134"/>
      <c r="H33" s="134"/>
      <c r="I33" s="124"/>
      <c r="J33" s="124"/>
      <c r="K33" s="124" t="s">
        <v>23</v>
      </c>
      <c r="L33" s="124"/>
      <c r="M33" s="124"/>
      <c r="N33" s="220"/>
      <c r="O33" s="124"/>
      <c r="P33" s="124"/>
      <c r="Q33" s="124">
        <v>30</v>
      </c>
      <c r="R33" s="124" t="s">
        <v>32</v>
      </c>
      <c r="S33" s="124"/>
      <c r="T33" s="124"/>
      <c r="AA33" s="1"/>
    </row>
    <row r="34" spans="1:27" ht="12.75" hidden="1">
      <c r="A34" s="124">
        <f>A33/A32</f>
        <v>0.607711</v>
      </c>
      <c r="B34" s="124" t="s">
        <v>41</v>
      </c>
      <c r="C34" s="124"/>
      <c r="D34" s="124"/>
      <c r="E34" s="124"/>
      <c r="F34" s="124"/>
      <c r="G34" s="134"/>
      <c r="H34" s="13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AA34" s="1"/>
    </row>
    <row r="35" spans="1:27" ht="12.75" hidden="1">
      <c r="A35" s="124"/>
      <c r="B35" s="124"/>
      <c r="C35" s="124"/>
      <c r="D35" s="124"/>
      <c r="E35" s="124"/>
      <c r="F35" s="124"/>
      <c r="G35" s="134"/>
      <c r="H35" s="134"/>
      <c r="I35" s="124"/>
      <c r="J35" s="124"/>
      <c r="K35" s="124"/>
      <c r="L35" s="124"/>
      <c r="M35" s="124"/>
      <c r="N35" s="124"/>
      <c r="O35" s="124"/>
      <c r="P35" s="124"/>
      <c r="Q35" s="124"/>
      <c r="R35" s="124">
        <f>166+17+222+500+133</f>
        <v>1038</v>
      </c>
      <c r="S35" s="124"/>
      <c r="T35" s="124"/>
      <c r="AA35" s="1"/>
    </row>
    <row r="36" spans="1:20" ht="15.75" hidden="1">
      <c r="A36" s="124"/>
      <c r="B36" s="124"/>
      <c r="C36" s="124"/>
      <c r="D36" s="124" t="s">
        <v>17</v>
      </c>
      <c r="E36" s="124"/>
      <c r="F36" s="124"/>
      <c r="G36" s="134"/>
      <c r="H36" s="134"/>
      <c r="I36" s="124"/>
      <c r="J36" s="124"/>
      <c r="K36" s="124" t="s">
        <v>24</v>
      </c>
      <c r="L36" s="124"/>
      <c r="M36" s="124"/>
      <c r="N36" s="124"/>
      <c r="O36" s="124"/>
      <c r="P36" s="124"/>
      <c r="Q36" s="124"/>
      <c r="R36" s="124"/>
      <c r="S36" s="124"/>
      <c r="T36" s="124"/>
    </row>
    <row r="37" spans="1:20" ht="12.75" hidden="1">
      <c r="A37" s="124"/>
      <c r="B37" s="124"/>
      <c r="C37" s="124"/>
      <c r="D37" s="124"/>
      <c r="E37" s="124"/>
      <c r="F37" s="124"/>
      <c r="G37" s="134"/>
      <c r="H37" s="13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38" spans="1:20" ht="12.75" hidden="1">
      <c r="A38" s="225" t="e">
        <f>#REF!+#REF!+#REF!+#REF!</f>
        <v>#REF!</v>
      </c>
      <c r="B38" s="124"/>
      <c r="C38" s="124"/>
      <c r="D38" s="124"/>
      <c r="E38" s="124"/>
      <c r="F38" s="124"/>
      <c r="G38" s="134"/>
      <c r="H38" s="13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</row>
    <row r="39" spans="1:20" ht="12.75" hidden="1">
      <c r="A39" s="225" t="e">
        <f>#REF!+#REF!+#REF!+#REF!</f>
        <v>#REF!</v>
      </c>
      <c r="B39" s="124"/>
      <c r="C39" s="124"/>
      <c r="D39" s="124"/>
      <c r="E39" s="124"/>
      <c r="F39" s="124"/>
      <c r="G39" s="134"/>
      <c r="H39" s="13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7" ht="18.75" hidden="1">
      <c r="A40" s="124" t="e">
        <f>A39/A38</f>
        <v>#REF!</v>
      </c>
      <c r="B40" s="124" t="s">
        <v>42</v>
      </c>
      <c r="C40" s="124"/>
      <c r="D40" s="145"/>
      <c r="E40" s="145"/>
      <c r="F40" s="145"/>
      <c r="G40" s="145"/>
      <c r="H40" s="145"/>
      <c r="I40" s="145"/>
      <c r="J40" s="145"/>
      <c r="K40" s="140"/>
      <c r="L40" s="140"/>
      <c r="M40" s="145"/>
      <c r="N40" s="145"/>
      <c r="O40" s="140"/>
      <c r="P40" s="140"/>
      <c r="Q40" s="145"/>
      <c r="R40" s="140"/>
      <c r="S40" s="140"/>
      <c r="T40" s="140"/>
      <c r="U40" s="14"/>
      <c r="V40" s="14"/>
      <c r="W40" s="15"/>
      <c r="X40" s="15"/>
      <c r="Y40" s="15"/>
      <c r="Z40" s="15"/>
      <c r="AA40" s="24"/>
    </row>
    <row r="41" spans="1:27" ht="12.75" hidden="1">
      <c r="A41" s="124"/>
      <c r="B41" s="124"/>
      <c r="C41" s="124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2"/>
      <c r="V41" s="12"/>
      <c r="W41" s="12"/>
      <c r="X41" s="12"/>
      <c r="Y41" s="12"/>
      <c r="Z41" s="12"/>
      <c r="AA41" s="24"/>
    </row>
    <row r="42" spans="1:27" ht="12.75" hidden="1">
      <c r="A42" s="124"/>
      <c r="B42" s="124"/>
      <c r="C42" s="124"/>
      <c r="D42" s="152"/>
      <c r="E42" s="152"/>
      <c r="F42" s="152"/>
      <c r="G42" s="152"/>
      <c r="H42" s="152"/>
      <c r="I42" s="152"/>
      <c r="J42" s="152"/>
      <c r="K42" s="226"/>
      <c r="L42" s="226"/>
      <c r="M42" s="227"/>
      <c r="N42" s="152"/>
      <c r="O42" s="226"/>
      <c r="P42" s="226"/>
      <c r="Q42" s="227"/>
      <c r="R42" s="152"/>
      <c r="S42" s="227"/>
      <c r="T42" s="227"/>
      <c r="U42" s="25"/>
      <c r="V42" s="18"/>
      <c r="W42" s="18"/>
      <c r="X42" s="26"/>
      <c r="Y42" s="18"/>
      <c r="Z42" s="19"/>
      <c r="AA42" s="24"/>
    </row>
    <row r="43" spans="1:27" ht="12.75" hidden="1">
      <c r="A43" s="124"/>
      <c r="B43" s="124"/>
      <c r="C43" s="124"/>
      <c r="D43" s="152"/>
      <c r="E43" s="152"/>
      <c r="F43" s="152"/>
      <c r="G43" s="152"/>
      <c r="H43" s="152"/>
      <c r="I43" s="152"/>
      <c r="J43" s="152"/>
      <c r="K43" s="226"/>
      <c r="L43" s="226"/>
      <c r="M43" s="227"/>
      <c r="N43" s="152"/>
      <c r="O43" s="226"/>
      <c r="P43" s="226"/>
      <c r="Q43" s="227"/>
      <c r="R43" s="152"/>
      <c r="S43" s="227"/>
      <c r="T43" s="227"/>
      <c r="U43" s="25"/>
      <c r="V43" s="18"/>
      <c r="W43" s="18"/>
      <c r="X43" s="26"/>
      <c r="Y43" s="18"/>
      <c r="Z43" s="19"/>
      <c r="AA43" s="24"/>
    </row>
    <row r="44" spans="1:27" ht="12.75" hidden="1">
      <c r="A44" s="124"/>
      <c r="B44" s="124"/>
      <c r="C44" s="124"/>
      <c r="D44" s="152"/>
      <c r="E44" s="152"/>
      <c r="F44" s="152"/>
      <c r="G44" s="152"/>
      <c r="H44" s="152"/>
      <c r="I44" s="152"/>
      <c r="J44" s="152"/>
      <c r="K44" s="226"/>
      <c r="L44" s="226"/>
      <c r="M44" s="227"/>
      <c r="N44" s="152"/>
      <c r="O44" s="226"/>
      <c r="P44" s="226"/>
      <c r="Q44" s="227"/>
      <c r="R44" s="152"/>
      <c r="S44" s="227"/>
      <c r="T44" s="227"/>
      <c r="U44" s="25"/>
      <c r="V44" s="18"/>
      <c r="W44" s="18"/>
      <c r="X44" s="26"/>
      <c r="Y44" s="18"/>
      <c r="Z44" s="19"/>
      <c r="AA44" s="24"/>
    </row>
    <row r="45" spans="1:27" ht="12.75" hidden="1">
      <c r="A45" s="124" t="s">
        <v>45</v>
      </c>
      <c r="B45" s="124"/>
      <c r="C45" s="124"/>
      <c r="D45" s="152"/>
      <c r="E45" s="152"/>
      <c r="F45" s="152"/>
      <c r="G45" s="152"/>
      <c r="H45" s="152"/>
      <c r="I45" s="152"/>
      <c r="J45" s="152"/>
      <c r="K45" s="226"/>
      <c r="L45" s="226"/>
      <c r="M45" s="227"/>
      <c r="N45" s="152"/>
      <c r="O45" s="226"/>
      <c r="P45" s="226"/>
      <c r="Q45" s="227"/>
      <c r="R45" s="152"/>
      <c r="S45" s="227"/>
      <c r="T45" s="227"/>
      <c r="U45" s="25"/>
      <c r="V45" s="18"/>
      <c r="W45" s="18"/>
      <c r="X45" s="26"/>
      <c r="Y45" s="18"/>
      <c r="Z45" s="19"/>
      <c r="AA45" s="24"/>
    </row>
    <row r="46" spans="1:27" ht="12.75" hidden="1">
      <c r="A46" s="124" t="s">
        <v>46</v>
      </c>
      <c r="B46" s="124">
        <v>0.2118</v>
      </c>
      <c r="C46" s="124"/>
      <c r="D46" s="152"/>
      <c r="E46" s="152"/>
      <c r="F46" s="152"/>
      <c r="G46" s="152"/>
      <c r="H46" s="152"/>
      <c r="I46" s="152"/>
      <c r="J46" s="152"/>
      <c r="K46" s="226"/>
      <c r="L46" s="226"/>
      <c r="M46" s="227"/>
      <c r="N46" s="152"/>
      <c r="O46" s="226"/>
      <c r="P46" s="226"/>
      <c r="Q46" s="227"/>
      <c r="R46" s="152"/>
      <c r="S46" s="227"/>
      <c r="T46" s="227"/>
      <c r="U46" s="25"/>
      <c r="V46" s="18"/>
      <c r="W46" s="18"/>
      <c r="X46" s="26"/>
      <c r="Y46" s="18"/>
      <c r="Z46" s="19"/>
      <c r="AA46" s="24"/>
    </row>
    <row r="47" spans="1:27" ht="12.75" hidden="1">
      <c r="A47" s="124" t="s">
        <v>47</v>
      </c>
      <c r="B47" s="124">
        <v>0.284342</v>
      </c>
      <c r="C47" s="124"/>
      <c r="D47" s="160"/>
      <c r="E47" s="160"/>
      <c r="F47" s="160"/>
      <c r="G47" s="160"/>
      <c r="H47" s="160"/>
      <c r="I47" s="160"/>
      <c r="J47" s="160"/>
      <c r="K47" s="228"/>
      <c r="L47" s="228"/>
      <c r="M47" s="160"/>
      <c r="N47" s="160"/>
      <c r="O47" s="228"/>
      <c r="P47" s="228"/>
      <c r="Q47" s="160"/>
      <c r="R47" s="160"/>
      <c r="S47" s="160"/>
      <c r="T47" s="160"/>
      <c r="U47" s="18"/>
      <c r="V47" s="21"/>
      <c r="W47" s="21"/>
      <c r="X47" s="28"/>
      <c r="Y47" s="21"/>
      <c r="Z47" s="22"/>
      <c r="AA47" s="24"/>
    </row>
    <row r="48" spans="1:27" ht="12.75" hidden="1">
      <c r="A48" s="124" t="s">
        <v>48</v>
      </c>
      <c r="B48" s="124">
        <f>0.104+0.0501+0.0111</f>
        <v>0.16519999999999999</v>
      </c>
      <c r="C48" s="124">
        <f>B47+B48</f>
        <v>0.449542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4"/>
      <c r="V48" s="14"/>
      <c r="W48" s="14"/>
      <c r="X48" s="14"/>
      <c r="Y48" s="14"/>
      <c r="Z48" s="14"/>
      <c r="AA48" s="24"/>
    </row>
    <row r="49" spans="1:27" ht="12.75" hidden="1">
      <c r="A49" s="124" t="s">
        <v>49</v>
      </c>
      <c r="B49" s="124">
        <f>B46+B47+B48</f>
        <v>0.661342</v>
      </c>
      <c r="C49" s="124"/>
      <c r="D49" s="162"/>
      <c r="E49" s="162"/>
      <c r="F49" s="162"/>
      <c r="G49" s="162"/>
      <c r="H49" s="162"/>
      <c r="I49" s="162"/>
      <c r="J49" s="162"/>
      <c r="K49" s="162"/>
      <c r="L49" s="153"/>
      <c r="M49" s="162"/>
      <c r="N49" s="162"/>
      <c r="O49" s="162"/>
      <c r="P49" s="162"/>
      <c r="Q49" s="162"/>
      <c r="R49" s="153"/>
      <c r="S49" s="162"/>
      <c r="T49" s="162"/>
      <c r="U49" s="14"/>
      <c r="V49" s="14"/>
      <c r="W49" s="14"/>
      <c r="X49" s="14"/>
      <c r="Y49" s="14"/>
      <c r="Z49" s="14"/>
      <c r="AA49" s="24"/>
    </row>
    <row r="50" spans="1:27" ht="12.75" hidden="1">
      <c r="A50" s="124" t="s">
        <v>50</v>
      </c>
      <c r="B50" s="124">
        <v>-0.042</v>
      </c>
      <c r="C50" s="124"/>
      <c r="D50" s="162"/>
      <c r="E50" s="162"/>
      <c r="F50" s="162"/>
      <c r="G50" s="162"/>
      <c r="H50" s="162"/>
      <c r="I50" s="162"/>
      <c r="J50" s="162"/>
      <c r="K50" s="162"/>
      <c r="L50" s="153"/>
      <c r="M50" s="162"/>
      <c r="N50" s="162"/>
      <c r="O50" s="162"/>
      <c r="P50" s="162"/>
      <c r="Q50" s="162"/>
      <c r="R50" s="162"/>
      <c r="S50" s="162"/>
      <c r="T50" s="162"/>
      <c r="U50" s="14"/>
      <c r="V50" s="14"/>
      <c r="W50" s="14"/>
      <c r="X50" s="14"/>
      <c r="Y50" s="14"/>
      <c r="Z50" s="14"/>
      <c r="AA50" s="24"/>
    </row>
    <row r="51" spans="1:27" ht="12.75" hidden="1">
      <c r="A51" s="124" t="s">
        <v>51</v>
      </c>
      <c r="B51" s="229">
        <f>B49+B50</f>
        <v>0.619342</v>
      </c>
      <c r="C51" s="124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4"/>
      <c r="V51" s="14"/>
      <c r="W51" s="14"/>
      <c r="X51" s="14"/>
      <c r="Y51" s="14"/>
      <c r="Z51" s="14"/>
      <c r="AA51" s="24"/>
    </row>
    <row r="52" spans="1:20" ht="12.75">
      <c r="A52" s="124"/>
      <c r="B52" s="124"/>
      <c r="C52" s="124"/>
      <c r="D52" s="124"/>
      <c r="E52" s="124"/>
      <c r="F52" s="124"/>
      <c r="G52" s="134"/>
      <c r="H52" s="13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</row>
    <row r="53" spans="1:20" ht="12.75">
      <c r="A53" s="124" t="s">
        <v>248</v>
      </c>
      <c r="B53" s="124"/>
      <c r="C53" s="124"/>
      <c r="D53" s="124"/>
      <c r="E53" s="124"/>
      <c r="F53" s="124"/>
      <c r="G53" s="134"/>
      <c r="H53" s="13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</row>
    <row r="54" spans="1:20" ht="12.75">
      <c r="A54" s="124"/>
      <c r="B54" s="124"/>
      <c r="C54" s="124"/>
      <c r="D54" s="124"/>
      <c r="E54" s="124"/>
      <c r="F54" s="124"/>
      <c r="G54" s="134"/>
      <c r="H54" s="13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</row>
    <row r="55" spans="1:20" ht="12.75">
      <c r="A55" s="124"/>
      <c r="B55" s="124"/>
      <c r="C55" s="124"/>
      <c r="D55" s="124"/>
      <c r="E55" s="124"/>
      <c r="F55" s="124"/>
      <c r="G55" s="134"/>
      <c r="H55" s="13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</row>
    <row r="56" spans="1:20" ht="12.75">
      <c r="A56" s="124"/>
      <c r="B56" s="124"/>
      <c r="C56" s="124"/>
      <c r="D56" s="124"/>
      <c r="E56" s="124"/>
      <c r="F56" s="124"/>
      <c r="G56" s="134"/>
      <c r="H56" s="13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</row>
  </sheetData>
  <sheetProtection sheet="1"/>
  <mergeCells count="2">
    <mergeCell ref="A24:M24"/>
    <mergeCell ref="A1:T1"/>
  </mergeCells>
  <printOptions/>
  <pageMargins left="0.7" right="0.7" top="0.75" bottom="0.75" header="0.3" footer="0.3"/>
  <pageSetup fitToHeight="1" fitToWidth="1" horizontalDpi="600" verticalDpi="600" orientation="landscape" paperSize="9" scale="48" r:id="rId6"/>
  <legacyDrawing r:id="rId5"/>
  <oleObjects>
    <oleObject progId="Equation.3" shapeId="2244753" r:id="rId1"/>
    <oleObject progId="Equation.3" shapeId="2244754" r:id="rId2"/>
    <oleObject progId="Equation.3" shapeId="2244755" r:id="rId3"/>
    <oleObject progId="Equation.3" shapeId="224475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denigris</dc:creator>
  <cp:keywords/>
  <dc:description/>
  <cp:lastModifiedBy>denigris</cp:lastModifiedBy>
  <cp:lastPrinted>2015-08-04T10:11:08Z</cp:lastPrinted>
  <dcterms:created xsi:type="dcterms:W3CDTF">2015-03-05T15:07:05Z</dcterms:created>
  <dcterms:modified xsi:type="dcterms:W3CDTF">2016-03-17T16:37:49Z</dcterms:modified>
  <cp:category/>
  <cp:version/>
  <cp:contentType/>
  <cp:contentStatus/>
</cp:coreProperties>
</file>